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pra-my.sharepoint.com/personal/mahmed_rpra_ca/Documents/Documents/Program files/Blue Box/Datacall/December2023/"/>
    </mc:Choice>
  </mc:AlternateContent>
  <xr:revisionPtr revIDLastSave="0" documentId="8_{3D27FE30-4A59-437D-A362-FDB01F767C77}" xr6:coauthVersionLast="47" xr6:coauthVersionMax="47" xr10:uidLastSave="{00000000-0000-0000-0000-000000000000}"/>
  <bookViews>
    <workbookView xWindow="-110" yWindow="-110" windowWidth="19420" windowHeight="10420" tabRatio="911" xr2:uid="{00000000-000D-0000-FFFF-FFFF00000000}"/>
  </bookViews>
  <sheets>
    <sheet name="2023 Funding" sheetId="30" r:id="rId1"/>
    <sheet name="Revised 2020 MFAM(2020 PYAs)" sheetId="31" state="hidden" r:id="rId2"/>
    <sheet name="Revised 2020 Lockdown" sheetId="32" state="hidden" r:id="rId3"/>
    <sheet name="Revised 2020 MFAM(2019 PYAs)" sheetId="18" state="hidden" r:id="rId4"/>
    <sheet name="Revised 2020 MFAM Cost Bands" sheetId="19" state="hidden" r:id="rId5"/>
    <sheet name="Revised 2019 Lockdown" sheetId="29" state="hidden" r:id="rId6"/>
  </sheets>
  <definedNames>
    <definedName name="_xlnm._FilterDatabase" localSheetId="0" hidden="1">'2023 Funding'!$B$12:$AB$12</definedName>
    <definedName name="_xlnm._FilterDatabase" localSheetId="5" hidden="1">'Revised 2019 Lockdown'!$B$4:$I$4</definedName>
    <definedName name="_xlnm._FilterDatabase" localSheetId="2" hidden="1">'Revised 2020 Lockdown'!$B$4:$I$4</definedName>
    <definedName name="_xlnm._FilterDatabase" localSheetId="1" hidden="1">'Revised 2020 MFAM(2020 PYAs)'!$B$19:$S$19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30" l="1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89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3" i="30"/>
  <c r="K104" i="30"/>
  <c r="K105" i="30"/>
  <c r="K106" i="30"/>
  <c r="K107" i="30"/>
  <c r="K108" i="30"/>
  <c r="K109" i="30"/>
  <c r="K110" i="30"/>
  <c r="K111" i="30"/>
  <c r="K112" i="30"/>
  <c r="K113" i="30"/>
  <c r="K114" i="30"/>
  <c r="K115" i="30"/>
  <c r="K116" i="30"/>
  <c r="K117" i="30"/>
  <c r="K118" i="30"/>
  <c r="K119" i="30"/>
  <c r="K120" i="30"/>
  <c r="K121" i="30"/>
  <c r="K122" i="30"/>
  <c r="K123" i="30"/>
  <c r="K124" i="30"/>
  <c r="K125" i="30"/>
  <c r="K126" i="30"/>
  <c r="K127" i="30"/>
  <c r="K128" i="30"/>
  <c r="K129" i="30"/>
  <c r="K130" i="30"/>
  <c r="K131" i="30"/>
  <c r="K132" i="30"/>
  <c r="K133" i="30"/>
  <c r="K134" i="30"/>
  <c r="K135" i="30"/>
  <c r="K136" i="30"/>
  <c r="K137" i="30"/>
  <c r="K138" i="30"/>
  <c r="K139" i="30"/>
  <c r="K140" i="30"/>
  <c r="K141" i="30"/>
  <c r="K142" i="30"/>
  <c r="K143" i="30"/>
  <c r="K144" i="30"/>
  <c r="K145" i="30"/>
  <c r="K146" i="30"/>
  <c r="K147" i="30"/>
  <c r="K148" i="30"/>
  <c r="K149" i="30"/>
  <c r="K150" i="30"/>
  <c r="K151" i="30"/>
  <c r="K152" i="30"/>
  <c r="K153" i="30"/>
  <c r="K154" i="30"/>
  <c r="K155" i="30"/>
  <c r="K156" i="30"/>
  <c r="K157" i="30"/>
  <c r="K158" i="30"/>
  <c r="K159" i="30"/>
  <c r="K160" i="30"/>
  <c r="K161" i="30"/>
  <c r="K162" i="30"/>
  <c r="K163" i="30"/>
  <c r="K164" i="30"/>
  <c r="K165" i="30"/>
  <c r="K166" i="30"/>
  <c r="K167" i="30"/>
  <c r="K168" i="30"/>
  <c r="K169" i="30"/>
  <c r="K170" i="30"/>
  <c r="K171" i="30"/>
  <c r="K172" i="30"/>
  <c r="K173" i="30"/>
  <c r="K174" i="30"/>
  <c r="K175" i="30"/>
  <c r="K176" i="30"/>
  <c r="K177" i="30"/>
  <c r="K178" i="30"/>
  <c r="K179" i="30"/>
  <c r="K180" i="30"/>
  <c r="K181" i="30"/>
  <c r="K182" i="30"/>
  <c r="K183" i="30"/>
  <c r="K184" i="30"/>
  <c r="K185" i="30"/>
  <c r="K186" i="30"/>
  <c r="K187" i="30"/>
  <c r="K188" i="30"/>
  <c r="K189" i="30"/>
  <c r="K190" i="30"/>
  <c r="K191" i="30"/>
  <c r="K192" i="30"/>
  <c r="K193" i="30"/>
  <c r="K194" i="30"/>
  <c r="K195" i="30"/>
  <c r="K196" i="30"/>
  <c r="K197" i="30"/>
  <c r="K198" i="30"/>
  <c r="K199" i="30"/>
  <c r="K200" i="30"/>
  <c r="K201" i="30"/>
  <c r="K202" i="30"/>
  <c r="K203" i="30"/>
  <c r="K204" i="30"/>
  <c r="K205" i="30"/>
  <c r="K206" i="30"/>
  <c r="K207" i="30"/>
  <c r="K208" i="30"/>
  <c r="K209" i="30"/>
  <c r="K210" i="30"/>
  <c r="K211" i="30"/>
  <c r="K212" i="30"/>
  <c r="K213" i="30"/>
  <c r="K214" i="30"/>
  <c r="K215" i="30"/>
  <c r="K216" i="30"/>
  <c r="K217" i="30"/>
  <c r="K218" i="30"/>
  <c r="K219" i="30"/>
  <c r="K220" i="30"/>
  <c r="K221" i="30"/>
  <c r="K222" i="30"/>
  <c r="K223" i="30"/>
  <c r="K224" i="30"/>
  <c r="K225" i="30"/>
  <c r="K226" i="30"/>
  <c r="K227" i="30"/>
  <c r="K228" i="30"/>
  <c r="K229" i="30"/>
  <c r="K230" i="30"/>
  <c r="K231" i="30"/>
  <c r="K232" i="30"/>
  <c r="K233" i="30"/>
  <c r="K234" i="30"/>
  <c r="K235" i="30"/>
  <c r="K236" i="30"/>
  <c r="K237" i="30"/>
  <c r="K238" i="30"/>
  <c r="K239" i="30"/>
  <c r="K240" i="30"/>
  <c r="K241" i="30"/>
  <c r="K242" i="30"/>
  <c r="K243" i="30"/>
  <c r="K244" i="30"/>
  <c r="K245" i="30"/>
  <c r="K246" i="30"/>
  <c r="K247" i="30"/>
  <c r="K248" i="30"/>
  <c r="K249" i="30"/>
  <c r="K250" i="30"/>
  <c r="K251" i="30"/>
  <c r="K252" i="30"/>
  <c r="K253" i="30"/>
  <c r="K254" i="30"/>
  <c r="K255" i="30"/>
  <c r="K256" i="30"/>
  <c r="K257" i="30"/>
  <c r="K258" i="30"/>
  <c r="K17" i="30"/>
  <c r="K18" i="30"/>
  <c r="K14" i="30"/>
  <c r="K15" i="30"/>
  <c r="K16" i="30"/>
  <c r="K13" i="30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AA25" i="18" l="1"/>
  <c r="AB10" i="30" l="1"/>
  <c r="AA10" i="30"/>
  <c r="Z10" i="30"/>
  <c r="P15" i="30" l="1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AB27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60" i="30"/>
  <c r="AB61" i="30"/>
  <c r="L62" i="30"/>
  <c r="L63" i="30"/>
  <c r="L64" i="30"/>
  <c r="L65" i="30"/>
  <c r="L66" i="30"/>
  <c r="L67" i="30"/>
  <c r="L68" i="30"/>
  <c r="L69" i="30"/>
  <c r="L70" i="30"/>
  <c r="L71" i="30"/>
  <c r="L72" i="30"/>
  <c r="L73" i="30"/>
  <c r="L74" i="30"/>
  <c r="L75" i="30"/>
  <c r="L76" i="30"/>
  <c r="L77" i="30"/>
  <c r="L78" i="30"/>
  <c r="L79" i="30"/>
  <c r="L80" i="30"/>
  <c r="L81" i="30"/>
  <c r="AB82" i="30"/>
  <c r="AB83" i="30"/>
  <c r="L84" i="30"/>
  <c r="L85" i="30"/>
  <c r="L86" i="30"/>
  <c r="L87" i="30"/>
  <c r="AB88" i="30"/>
  <c r="L89" i="30"/>
  <c r="L90" i="30"/>
  <c r="L91" i="30"/>
  <c r="L92" i="30"/>
  <c r="AB93" i="30"/>
  <c r="L94" i="30"/>
  <c r="L95" i="30"/>
  <c r="L96" i="30"/>
  <c r="L97" i="30"/>
  <c r="L98" i="30"/>
  <c r="L99" i="30"/>
  <c r="L100" i="30"/>
  <c r="L101" i="30"/>
  <c r="L102" i="30"/>
  <c r="L103" i="30"/>
  <c r="L104" i="30"/>
  <c r="L105" i="30"/>
  <c r="L106" i="30"/>
  <c r="L107" i="30"/>
  <c r="L108" i="30"/>
  <c r="L109" i="30"/>
  <c r="L110" i="30"/>
  <c r="L111" i="30"/>
  <c r="L112" i="30"/>
  <c r="L113" i="30"/>
  <c r="L114" i="30"/>
  <c r="AB115" i="30"/>
  <c r="AB116" i="30"/>
  <c r="AB117" i="30"/>
  <c r="L118" i="30"/>
  <c r="L119" i="30"/>
  <c r="AB120" i="30"/>
  <c r="AB121" i="30"/>
  <c r="L122" i="30"/>
  <c r="AB123" i="30"/>
  <c r="L124" i="30"/>
  <c r="L125" i="30"/>
  <c r="L126" i="30"/>
  <c r="L127" i="30"/>
  <c r="L128" i="30"/>
  <c r="L129" i="30"/>
  <c r="AB130" i="30"/>
  <c r="L131" i="30"/>
  <c r="L133" i="30"/>
  <c r="L134" i="30"/>
  <c r="L135" i="30"/>
  <c r="L136" i="30"/>
  <c r="L137" i="30"/>
  <c r="L138" i="30"/>
  <c r="L141" i="30"/>
  <c r="L142" i="30"/>
  <c r="L143" i="30"/>
  <c r="L144" i="30"/>
  <c r="L145" i="30"/>
  <c r="L146" i="30"/>
  <c r="L147" i="30"/>
  <c r="L148" i="30"/>
  <c r="L149" i="30"/>
  <c r="L150" i="30"/>
  <c r="L151" i="30"/>
  <c r="L152" i="30"/>
  <c r="L153" i="30"/>
  <c r="AB154" i="30"/>
  <c r="L155" i="30"/>
  <c r="AB156" i="30"/>
  <c r="L157" i="30"/>
  <c r="L158" i="30"/>
  <c r="L159" i="30"/>
  <c r="L160" i="30"/>
  <c r="L161" i="30"/>
  <c r="L162" i="30"/>
  <c r="L163" i="30"/>
  <c r="L165" i="30"/>
  <c r="L166" i="30"/>
  <c r="L167" i="30"/>
  <c r="AB168" i="30"/>
  <c r="L169" i="30"/>
  <c r="L170" i="30"/>
  <c r="L171" i="30"/>
  <c r="L172" i="30"/>
  <c r="L173" i="30"/>
  <c r="L174" i="30"/>
  <c r="L175" i="30"/>
  <c r="L176" i="30"/>
  <c r="L177" i="30"/>
  <c r="L178" i="30"/>
  <c r="L179" i="30"/>
  <c r="L180" i="30"/>
  <c r="L181" i="30"/>
  <c r="L182" i="30"/>
  <c r="L183" i="30"/>
  <c r="L184" i="30"/>
  <c r="L185" i="30"/>
  <c r="L186" i="30"/>
  <c r="L187" i="30"/>
  <c r="L188" i="30"/>
  <c r="L189" i="30"/>
  <c r="L190" i="30"/>
  <c r="L191" i="30"/>
  <c r="L192" i="30"/>
  <c r="L193" i="30"/>
  <c r="L194" i="30"/>
  <c r="L195" i="30"/>
  <c r="AB196" i="30"/>
  <c r="L197" i="30"/>
  <c r="L198" i="30"/>
  <c r="L199" i="30"/>
  <c r="L200" i="30"/>
  <c r="L201" i="30"/>
  <c r="L202" i="30"/>
  <c r="L203" i="30"/>
  <c r="L204" i="30"/>
  <c r="L205" i="30"/>
  <c r="L206" i="30"/>
  <c r="L207" i="30"/>
  <c r="L208" i="30"/>
  <c r="L209" i="30"/>
  <c r="L210" i="30"/>
  <c r="L211" i="30"/>
  <c r="L212" i="30"/>
  <c r="L213" i="30"/>
  <c r="AB214" i="30"/>
  <c r="L215" i="30"/>
  <c r="L216" i="30"/>
  <c r="L217" i="30"/>
  <c r="L218" i="30"/>
  <c r="L219" i="30"/>
  <c r="L220" i="30"/>
  <c r="L221" i="30"/>
  <c r="L222" i="30"/>
  <c r="L223" i="30"/>
  <c r="L224" i="30"/>
  <c r="L225" i="30"/>
  <c r="L226" i="30"/>
  <c r="L227" i="30"/>
  <c r="L228" i="30"/>
  <c r="L229" i="30"/>
  <c r="L230" i="30"/>
  <c r="L231" i="30"/>
  <c r="L232" i="30"/>
  <c r="L233" i="30"/>
  <c r="L234" i="30"/>
  <c r="L235" i="30"/>
  <c r="L236" i="30"/>
  <c r="L237" i="30"/>
  <c r="L238" i="30"/>
  <c r="L239" i="30"/>
  <c r="L240" i="30"/>
  <c r="L241" i="30"/>
  <c r="L242" i="30"/>
  <c r="L243" i="30"/>
  <c r="L244" i="30"/>
  <c r="L245" i="30"/>
  <c r="L246" i="30"/>
  <c r="L247" i="30"/>
  <c r="L248" i="30"/>
  <c r="L249" i="30"/>
  <c r="L250" i="30"/>
  <c r="L251" i="30"/>
  <c r="L252" i="30"/>
  <c r="L253" i="30"/>
  <c r="L254" i="30"/>
  <c r="L255" i="30"/>
  <c r="L256" i="30"/>
  <c r="L257" i="30"/>
  <c r="L258" i="30"/>
  <c r="L13" i="30"/>
  <c r="L154" i="30" l="1"/>
  <c r="L130" i="30"/>
  <c r="L82" i="30"/>
  <c r="L121" i="30"/>
  <c r="AA140" i="30"/>
  <c r="AB140" i="30"/>
  <c r="AA139" i="30"/>
  <c r="AB139" i="30"/>
  <c r="AA59" i="30"/>
  <c r="AB59" i="30"/>
  <c r="AB146" i="30"/>
  <c r="AA146" i="30"/>
  <c r="AB138" i="30"/>
  <c r="AA138" i="30"/>
  <c r="AA122" i="30"/>
  <c r="AB122" i="30"/>
  <c r="AB90" i="30"/>
  <c r="AA90" i="30"/>
  <c r="AA66" i="30"/>
  <c r="AB66" i="30"/>
  <c r="AA58" i="30"/>
  <c r="AB58" i="30"/>
  <c r="L168" i="30"/>
  <c r="L120" i="30"/>
  <c r="L88" i="30"/>
  <c r="AB57" i="30"/>
  <c r="AA57" i="30"/>
  <c r="AB216" i="30"/>
  <c r="AA216" i="30"/>
  <c r="AB152" i="30"/>
  <c r="AA152" i="30"/>
  <c r="AB144" i="30"/>
  <c r="AA144" i="30"/>
  <c r="AA128" i="30"/>
  <c r="AB128" i="30"/>
  <c r="AA96" i="30"/>
  <c r="AB96" i="30"/>
  <c r="AA48" i="30"/>
  <c r="AB48" i="30"/>
  <c r="AA24" i="30"/>
  <c r="AB24" i="30"/>
  <c r="L214" i="30"/>
  <c r="AA164" i="30"/>
  <c r="AB164" i="30"/>
  <c r="AA132" i="30"/>
  <c r="AB132" i="30"/>
  <c r="AB28" i="30"/>
  <c r="AA28" i="30"/>
  <c r="AA161" i="30"/>
  <c r="AB161" i="30"/>
  <c r="AA167" i="30"/>
  <c r="AB167" i="30"/>
  <c r="AA151" i="30"/>
  <c r="AB151" i="30"/>
  <c r="AA55" i="30"/>
  <c r="AB55" i="30"/>
  <c r="AA15" i="30"/>
  <c r="AB15" i="30"/>
  <c r="L117" i="30"/>
  <c r="L93" i="30"/>
  <c r="L61" i="30"/>
  <c r="AA137" i="30"/>
  <c r="AB137" i="30"/>
  <c r="AA246" i="30"/>
  <c r="AB246" i="30"/>
  <c r="AB166" i="30"/>
  <c r="AA166" i="30"/>
  <c r="AA150" i="30"/>
  <c r="AB150" i="30"/>
  <c r="AB126" i="30"/>
  <c r="AA126" i="30"/>
  <c r="AB118" i="30"/>
  <c r="AA118" i="30"/>
  <c r="AB62" i="30"/>
  <c r="AA62" i="30"/>
  <c r="AA14" i="30"/>
  <c r="AB14" i="30"/>
  <c r="L196" i="30"/>
  <c r="L164" i="30"/>
  <c r="L156" i="30"/>
  <c r="L140" i="30"/>
  <c r="L132" i="30"/>
  <c r="L116" i="30"/>
  <c r="L28" i="30"/>
  <c r="AB153" i="30"/>
  <c r="AA153" i="30"/>
  <c r="AB73" i="30"/>
  <c r="AA73" i="30"/>
  <c r="AA45" i="30"/>
  <c r="AB45" i="30"/>
  <c r="L139" i="30"/>
  <c r="L123" i="30"/>
  <c r="L115" i="30"/>
  <c r="L83" i="30"/>
  <c r="L59" i="30"/>
  <c r="L27" i="30"/>
  <c r="I15" i="30"/>
  <c r="I20" i="30"/>
  <c r="I28" i="30"/>
  <c r="I36" i="30"/>
  <c r="I44" i="30"/>
  <c r="I52" i="30"/>
  <c r="I60" i="30"/>
  <c r="I68" i="30"/>
  <c r="I76" i="30"/>
  <c r="I84" i="30"/>
  <c r="I92" i="30"/>
  <c r="I100" i="30"/>
  <c r="I108" i="30"/>
  <c r="I116" i="30"/>
  <c r="I124" i="30"/>
  <c r="I132" i="30"/>
  <c r="I140" i="30"/>
  <c r="I148" i="30"/>
  <c r="I156" i="30"/>
  <c r="I164" i="30"/>
  <c r="I172" i="30"/>
  <c r="I180" i="30"/>
  <c r="I188" i="30"/>
  <c r="I196" i="30"/>
  <c r="I204" i="30"/>
  <c r="I212" i="30"/>
  <c r="I220" i="30"/>
  <c r="I228" i="30"/>
  <c r="I236" i="30"/>
  <c r="I244" i="30"/>
  <c r="I252" i="30"/>
  <c r="I14" i="30"/>
  <c r="P14" i="30"/>
  <c r="I16" i="30"/>
  <c r="P16" i="30"/>
  <c r="I17" i="30"/>
  <c r="P17" i="30"/>
  <c r="I18" i="30"/>
  <c r="P18" i="30"/>
  <c r="I19" i="30"/>
  <c r="P19" i="30"/>
  <c r="P20" i="30"/>
  <c r="I21" i="30"/>
  <c r="P21" i="30"/>
  <c r="I22" i="30"/>
  <c r="P22" i="30"/>
  <c r="I23" i="30"/>
  <c r="P23" i="30"/>
  <c r="I24" i="30"/>
  <c r="P24" i="30"/>
  <c r="I25" i="30"/>
  <c r="P25" i="30"/>
  <c r="I26" i="30"/>
  <c r="P26" i="30"/>
  <c r="I27" i="30"/>
  <c r="P27" i="30"/>
  <c r="P28" i="30"/>
  <c r="I29" i="30"/>
  <c r="P29" i="30"/>
  <c r="I30" i="30"/>
  <c r="P30" i="30"/>
  <c r="I31" i="30"/>
  <c r="P31" i="30"/>
  <c r="I32" i="30"/>
  <c r="P32" i="30"/>
  <c r="I33" i="30"/>
  <c r="P33" i="30"/>
  <c r="I34" i="30"/>
  <c r="P34" i="30"/>
  <c r="I35" i="30"/>
  <c r="P35" i="30"/>
  <c r="P36" i="30"/>
  <c r="I37" i="30"/>
  <c r="P37" i="30"/>
  <c r="I38" i="30"/>
  <c r="P38" i="30"/>
  <c r="I39" i="30"/>
  <c r="P39" i="30"/>
  <c r="I40" i="30"/>
  <c r="P40" i="30"/>
  <c r="I41" i="30"/>
  <c r="P41" i="30"/>
  <c r="I42" i="30"/>
  <c r="P42" i="30"/>
  <c r="I43" i="30"/>
  <c r="P43" i="30"/>
  <c r="P44" i="30"/>
  <c r="I45" i="30"/>
  <c r="P45" i="30"/>
  <c r="I46" i="30"/>
  <c r="P46" i="30"/>
  <c r="I47" i="30"/>
  <c r="P47" i="30"/>
  <c r="I48" i="30"/>
  <c r="P48" i="30"/>
  <c r="I49" i="30"/>
  <c r="P49" i="30"/>
  <c r="I50" i="30"/>
  <c r="P50" i="30"/>
  <c r="I51" i="30"/>
  <c r="P51" i="30"/>
  <c r="P52" i="30"/>
  <c r="I53" i="30"/>
  <c r="P53" i="30"/>
  <c r="I54" i="30"/>
  <c r="P54" i="30"/>
  <c r="I55" i="30"/>
  <c r="P55" i="30"/>
  <c r="I56" i="30"/>
  <c r="P56" i="30"/>
  <c r="I57" i="30"/>
  <c r="P57" i="30"/>
  <c r="I58" i="30"/>
  <c r="P58" i="30"/>
  <c r="I59" i="30"/>
  <c r="P59" i="30"/>
  <c r="P60" i="30"/>
  <c r="I61" i="30"/>
  <c r="P61" i="30"/>
  <c r="I62" i="30"/>
  <c r="P62" i="30"/>
  <c r="I63" i="30"/>
  <c r="P63" i="30"/>
  <c r="I64" i="30"/>
  <c r="P64" i="30"/>
  <c r="I65" i="30"/>
  <c r="P65" i="30"/>
  <c r="I66" i="30"/>
  <c r="P66" i="30"/>
  <c r="I67" i="30"/>
  <c r="P67" i="30"/>
  <c r="P68" i="30"/>
  <c r="I69" i="30"/>
  <c r="P69" i="30"/>
  <c r="I70" i="30"/>
  <c r="P70" i="30"/>
  <c r="I71" i="30"/>
  <c r="P71" i="30"/>
  <c r="I72" i="30"/>
  <c r="P72" i="30"/>
  <c r="I73" i="30"/>
  <c r="P73" i="30"/>
  <c r="I74" i="30"/>
  <c r="P74" i="30"/>
  <c r="I75" i="30"/>
  <c r="P75" i="30"/>
  <c r="P76" i="30"/>
  <c r="I77" i="30"/>
  <c r="P77" i="30"/>
  <c r="I78" i="30"/>
  <c r="P78" i="30"/>
  <c r="I79" i="30"/>
  <c r="P79" i="30"/>
  <c r="I80" i="30"/>
  <c r="P80" i="30"/>
  <c r="I81" i="30"/>
  <c r="P81" i="30"/>
  <c r="I82" i="30"/>
  <c r="P82" i="30"/>
  <c r="I83" i="30"/>
  <c r="P83" i="30"/>
  <c r="P84" i="30"/>
  <c r="I85" i="30"/>
  <c r="O85" i="30"/>
  <c r="P85" i="30"/>
  <c r="I86" i="30"/>
  <c r="P86" i="30"/>
  <c r="I87" i="30"/>
  <c r="P87" i="30"/>
  <c r="I88" i="30"/>
  <c r="P88" i="30"/>
  <c r="I89" i="30"/>
  <c r="P89" i="30"/>
  <c r="I90" i="30"/>
  <c r="P90" i="30"/>
  <c r="I91" i="30"/>
  <c r="P91" i="30"/>
  <c r="P92" i="30"/>
  <c r="I93" i="30"/>
  <c r="P93" i="30"/>
  <c r="I94" i="30"/>
  <c r="P94" i="30"/>
  <c r="I95" i="30"/>
  <c r="P95" i="30"/>
  <c r="I96" i="30"/>
  <c r="P96" i="30"/>
  <c r="I97" i="30"/>
  <c r="P97" i="30"/>
  <c r="I98" i="30"/>
  <c r="P98" i="30"/>
  <c r="I99" i="30"/>
  <c r="P99" i="30"/>
  <c r="P100" i="30"/>
  <c r="I101" i="30"/>
  <c r="P101" i="30"/>
  <c r="I102" i="30"/>
  <c r="P102" i="30"/>
  <c r="I103" i="30"/>
  <c r="P103" i="30"/>
  <c r="I104" i="30"/>
  <c r="P104" i="30"/>
  <c r="I105" i="30"/>
  <c r="P105" i="30"/>
  <c r="I106" i="30"/>
  <c r="P106" i="30"/>
  <c r="I107" i="30"/>
  <c r="P107" i="30"/>
  <c r="P108" i="30"/>
  <c r="I109" i="30"/>
  <c r="P109" i="30"/>
  <c r="I110" i="30"/>
  <c r="P110" i="30"/>
  <c r="I111" i="30"/>
  <c r="P111" i="30"/>
  <c r="I112" i="30"/>
  <c r="P112" i="30"/>
  <c r="I113" i="30"/>
  <c r="P113" i="30"/>
  <c r="I114" i="30"/>
  <c r="P114" i="30"/>
  <c r="I115" i="30"/>
  <c r="P115" i="30"/>
  <c r="P116" i="30"/>
  <c r="I117" i="30"/>
  <c r="P117" i="30"/>
  <c r="I118" i="30"/>
  <c r="P118" i="30"/>
  <c r="I119" i="30"/>
  <c r="P119" i="30"/>
  <c r="I120" i="30"/>
  <c r="P120" i="30"/>
  <c r="I121" i="30"/>
  <c r="P121" i="30"/>
  <c r="I122" i="30"/>
  <c r="P122" i="30"/>
  <c r="I123" i="30"/>
  <c r="P123" i="30"/>
  <c r="P124" i="30"/>
  <c r="I125" i="30"/>
  <c r="P125" i="30"/>
  <c r="I126" i="30"/>
  <c r="P126" i="30"/>
  <c r="I127" i="30"/>
  <c r="P127" i="30"/>
  <c r="I128" i="30"/>
  <c r="P128" i="30"/>
  <c r="I129" i="30"/>
  <c r="P129" i="30"/>
  <c r="I130" i="30"/>
  <c r="P130" i="30"/>
  <c r="I131" i="30"/>
  <c r="P131" i="30"/>
  <c r="P132" i="30"/>
  <c r="I133" i="30"/>
  <c r="P133" i="30"/>
  <c r="I134" i="30"/>
  <c r="P134" i="30"/>
  <c r="I135" i="30"/>
  <c r="P135" i="30"/>
  <c r="I136" i="30"/>
  <c r="P136" i="30"/>
  <c r="I137" i="30"/>
  <c r="P137" i="30"/>
  <c r="I138" i="30"/>
  <c r="P138" i="30"/>
  <c r="I139" i="30"/>
  <c r="P139" i="30"/>
  <c r="P140" i="30"/>
  <c r="I141" i="30"/>
  <c r="P141" i="30"/>
  <c r="I142" i="30"/>
  <c r="P142" i="30"/>
  <c r="I143" i="30"/>
  <c r="P143" i="30"/>
  <c r="I144" i="30"/>
  <c r="P144" i="30"/>
  <c r="I145" i="30"/>
  <c r="P145" i="30"/>
  <c r="I146" i="30"/>
  <c r="P146" i="30"/>
  <c r="I147" i="30"/>
  <c r="P147" i="30"/>
  <c r="P148" i="30"/>
  <c r="I149" i="30"/>
  <c r="P149" i="30"/>
  <c r="I150" i="30"/>
  <c r="P150" i="30"/>
  <c r="I151" i="30"/>
  <c r="P151" i="30"/>
  <c r="I152" i="30"/>
  <c r="P152" i="30"/>
  <c r="I153" i="30"/>
  <c r="P153" i="30"/>
  <c r="I154" i="30"/>
  <c r="P154" i="30"/>
  <c r="I155" i="30"/>
  <c r="P155" i="30"/>
  <c r="P156" i="30"/>
  <c r="I157" i="30"/>
  <c r="P157" i="30"/>
  <c r="I158" i="30"/>
  <c r="P158" i="30"/>
  <c r="I159" i="30"/>
  <c r="P159" i="30"/>
  <c r="I160" i="30"/>
  <c r="P160" i="30"/>
  <c r="I161" i="30"/>
  <c r="P161" i="30"/>
  <c r="I162" i="30"/>
  <c r="P162" i="30"/>
  <c r="I163" i="30"/>
  <c r="P163" i="30"/>
  <c r="P164" i="30"/>
  <c r="I165" i="30"/>
  <c r="P165" i="30"/>
  <c r="I166" i="30"/>
  <c r="P166" i="30"/>
  <c r="I167" i="30"/>
  <c r="P167" i="30"/>
  <c r="I168" i="30"/>
  <c r="P168" i="30"/>
  <c r="I169" i="30"/>
  <c r="P169" i="30"/>
  <c r="I170" i="30"/>
  <c r="P170" i="30"/>
  <c r="I171" i="30"/>
  <c r="P171" i="30"/>
  <c r="P172" i="30"/>
  <c r="I173" i="30"/>
  <c r="P173" i="30"/>
  <c r="I174" i="30"/>
  <c r="P174" i="30"/>
  <c r="I175" i="30"/>
  <c r="P175" i="30"/>
  <c r="I176" i="30"/>
  <c r="P176" i="30"/>
  <c r="I177" i="30"/>
  <c r="P177" i="30"/>
  <c r="I178" i="30"/>
  <c r="P178" i="30"/>
  <c r="I179" i="30"/>
  <c r="P179" i="30"/>
  <c r="P180" i="30"/>
  <c r="I181" i="30"/>
  <c r="P181" i="30"/>
  <c r="I182" i="30"/>
  <c r="P182" i="30"/>
  <c r="I183" i="30"/>
  <c r="P183" i="30"/>
  <c r="I184" i="30"/>
  <c r="P184" i="30"/>
  <c r="I185" i="30"/>
  <c r="P185" i="30"/>
  <c r="I186" i="30"/>
  <c r="P186" i="30"/>
  <c r="I187" i="30"/>
  <c r="P187" i="30"/>
  <c r="P188" i="30"/>
  <c r="I189" i="30"/>
  <c r="P189" i="30"/>
  <c r="I190" i="30"/>
  <c r="P190" i="30"/>
  <c r="I191" i="30"/>
  <c r="P191" i="30"/>
  <c r="I192" i="30"/>
  <c r="O192" i="30"/>
  <c r="P192" i="30"/>
  <c r="I193" i="30"/>
  <c r="P193" i="30"/>
  <c r="I194" i="30"/>
  <c r="P194" i="30"/>
  <c r="I195" i="30"/>
  <c r="P195" i="30"/>
  <c r="P196" i="30"/>
  <c r="I197" i="30"/>
  <c r="P197" i="30"/>
  <c r="I198" i="30"/>
  <c r="P198" i="30"/>
  <c r="I199" i="30"/>
  <c r="P199" i="30"/>
  <c r="I200" i="30"/>
  <c r="P200" i="30"/>
  <c r="I201" i="30"/>
  <c r="P201" i="30"/>
  <c r="I202" i="30"/>
  <c r="P202" i="30"/>
  <c r="I203" i="30"/>
  <c r="P203" i="30"/>
  <c r="P204" i="30"/>
  <c r="I205" i="30"/>
  <c r="P205" i="30"/>
  <c r="I206" i="30"/>
  <c r="P206" i="30"/>
  <c r="I207" i="30"/>
  <c r="P207" i="30"/>
  <c r="I208" i="30"/>
  <c r="P208" i="30"/>
  <c r="I209" i="30"/>
  <c r="P209" i="30"/>
  <c r="I210" i="30"/>
  <c r="O210" i="30"/>
  <c r="P210" i="30"/>
  <c r="I211" i="30"/>
  <c r="P211" i="30"/>
  <c r="P212" i="30"/>
  <c r="I213" i="30"/>
  <c r="P213" i="30"/>
  <c r="I214" i="30"/>
  <c r="P214" i="30"/>
  <c r="I215" i="30"/>
  <c r="P215" i="30"/>
  <c r="I216" i="30"/>
  <c r="P216" i="30"/>
  <c r="I217" i="30"/>
  <c r="P217" i="30"/>
  <c r="I218" i="30"/>
  <c r="P218" i="30"/>
  <c r="I219" i="30"/>
  <c r="P219" i="30"/>
  <c r="P220" i="30"/>
  <c r="I221" i="30"/>
  <c r="P221" i="30"/>
  <c r="I222" i="30"/>
  <c r="P222" i="30"/>
  <c r="I223" i="30"/>
  <c r="P223" i="30"/>
  <c r="I224" i="30"/>
  <c r="P224" i="30"/>
  <c r="I225" i="30"/>
  <c r="P225" i="30"/>
  <c r="I226" i="30"/>
  <c r="P226" i="30"/>
  <c r="I227" i="30"/>
  <c r="P227" i="30"/>
  <c r="P228" i="30"/>
  <c r="I229" i="30"/>
  <c r="P229" i="30"/>
  <c r="I230" i="30"/>
  <c r="P230" i="30"/>
  <c r="I231" i="30"/>
  <c r="P231" i="30"/>
  <c r="I232" i="30"/>
  <c r="P232" i="30"/>
  <c r="I233" i="30"/>
  <c r="P233" i="30"/>
  <c r="I234" i="30"/>
  <c r="P234" i="30"/>
  <c r="I235" i="30"/>
  <c r="P235" i="30"/>
  <c r="P236" i="30"/>
  <c r="I237" i="30"/>
  <c r="P237" i="30"/>
  <c r="I238" i="30"/>
  <c r="P238" i="30"/>
  <c r="I239" i="30"/>
  <c r="P239" i="30"/>
  <c r="I240" i="30"/>
  <c r="P240" i="30"/>
  <c r="I241" i="30"/>
  <c r="P241" i="30"/>
  <c r="I242" i="30"/>
  <c r="P242" i="30"/>
  <c r="I243" i="30"/>
  <c r="P243" i="30"/>
  <c r="P244" i="30"/>
  <c r="I245" i="30"/>
  <c r="P245" i="30"/>
  <c r="I246" i="30"/>
  <c r="P246" i="30"/>
  <c r="I247" i="30"/>
  <c r="P247" i="30"/>
  <c r="I248" i="30"/>
  <c r="P248" i="30"/>
  <c r="I249" i="30"/>
  <c r="P249" i="30"/>
  <c r="I250" i="30"/>
  <c r="P250" i="30"/>
  <c r="I251" i="30"/>
  <c r="P251" i="30"/>
  <c r="O252" i="30"/>
  <c r="P252" i="30"/>
  <c r="I253" i="30"/>
  <c r="P253" i="30"/>
  <c r="I254" i="30"/>
  <c r="P254" i="30"/>
  <c r="I255" i="30"/>
  <c r="P255" i="30"/>
  <c r="I256" i="30"/>
  <c r="P256" i="30"/>
  <c r="I257" i="30"/>
  <c r="P257" i="30"/>
  <c r="I258" i="30"/>
  <c r="P258" i="30"/>
  <c r="L11" i="30" l="1"/>
  <c r="AD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4" i="18"/>
  <c r="P95" i="18"/>
  <c r="P96" i="18"/>
  <c r="P97" i="18"/>
  <c r="P98" i="18"/>
  <c r="P99" i="18"/>
  <c r="P100" i="18"/>
  <c r="P101" i="18"/>
  <c r="P102" i="18"/>
  <c r="P103" i="18"/>
  <c r="P104" i="18"/>
  <c r="P105" i="18"/>
  <c r="P106" i="18"/>
  <c r="P107" i="18"/>
  <c r="P108" i="18"/>
  <c r="P109" i="18"/>
  <c r="P110" i="18"/>
  <c r="P111" i="18"/>
  <c r="P112" i="18"/>
  <c r="P113" i="18"/>
  <c r="P114" i="18"/>
  <c r="P115" i="18"/>
  <c r="P116" i="18"/>
  <c r="P117" i="18"/>
  <c r="P118" i="18"/>
  <c r="P119" i="18"/>
  <c r="P120" i="18"/>
  <c r="P121" i="18"/>
  <c r="P122" i="18"/>
  <c r="P123" i="18"/>
  <c r="P124" i="18"/>
  <c r="P125" i="18"/>
  <c r="P126" i="18"/>
  <c r="P127" i="18"/>
  <c r="P128" i="18"/>
  <c r="P129" i="18"/>
  <c r="P130" i="18"/>
  <c r="P131" i="18"/>
  <c r="P132" i="18"/>
  <c r="P133" i="18"/>
  <c r="P134" i="18"/>
  <c r="P135" i="18"/>
  <c r="P136" i="18"/>
  <c r="P137" i="18"/>
  <c r="P138" i="18"/>
  <c r="P139" i="18"/>
  <c r="P140" i="18"/>
  <c r="P141" i="18"/>
  <c r="P142" i="18"/>
  <c r="P143" i="18"/>
  <c r="P144" i="18"/>
  <c r="P145" i="18"/>
  <c r="P146" i="18"/>
  <c r="P147" i="18"/>
  <c r="P148" i="18"/>
  <c r="P149" i="18"/>
  <c r="P150" i="18"/>
  <c r="P151" i="18"/>
  <c r="P152" i="18"/>
  <c r="P153" i="18"/>
  <c r="P154" i="18"/>
  <c r="P155" i="18"/>
  <c r="P156" i="18"/>
  <c r="P157" i="18"/>
  <c r="P158" i="18"/>
  <c r="P159" i="18"/>
  <c r="P160" i="18"/>
  <c r="P161" i="18"/>
  <c r="P162" i="18"/>
  <c r="P163" i="18"/>
  <c r="P164" i="18"/>
  <c r="P165" i="18"/>
  <c r="P166" i="18"/>
  <c r="P167" i="18"/>
  <c r="P168" i="18"/>
  <c r="P169" i="18"/>
  <c r="P170" i="18"/>
  <c r="P171" i="18"/>
  <c r="P172" i="18"/>
  <c r="P173" i="18"/>
  <c r="P174" i="18"/>
  <c r="P175" i="18"/>
  <c r="P176" i="18"/>
  <c r="P177" i="18"/>
  <c r="P178" i="18"/>
  <c r="P179" i="18"/>
  <c r="P180" i="18"/>
  <c r="P181" i="18"/>
  <c r="P182" i="18"/>
  <c r="P183" i="18"/>
  <c r="P184" i="18"/>
  <c r="P185" i="18"/>
  <c r="P186" i="18"/>
  <c r="P187" i="18"/>
  <c r="P188" i="18"/>
  <c r="P189" i="18"/>
  <c r="P190" i="18"/>
  <c r="P191" i="18"/>
  <c r="P192" i="18"/>
  <c r="P193" i="18"/>
  <c r="P194" i="18"/>
  <c r="P195" i="18"/>
  <c r="P196" i="18"/>
  <c r="P197" i="18"/>
  <c r="P198" i="18"/>
  <c r="P199" i="18"/>
  <c r="P200" i="18"/>
  <c r="P201" i="18"/>
  <c r="P202" i="18"/>
  <c r="P203" i="18"/>
  <c r="P204" i="18"/>
  <c r="P205" i="18"/>
  <c r="P206" i="18"/>
  <c r="P207" i="18"/>
  <c r="P208" i="18"/>
  <c r="P209" i="18"/>
  <c r="P210" i="18"/>
  <c r="P211" i="18"/>
  <c r="P212" i="18"/>
  <c r="P213" i="18"/>
  <c r="P214" i="18"/>
  <c r="P215" i="18"/>
  <c r="P216" i="18"/>
  <c r="P217" i="18"/>
  <c r="P218" i="18"/>
  <c r="P219" i="18"/>
  <c r="P220" i="18"/>
  <c r="P221" i="18"/>
  <c r="P222" i="18"/>
  <c r="P223" i="18"/>
  <c r="P224" i="18"/>
  <c r="P225" i="18"/>
  <c r="P226" i="18"/>
  <c r="P227" i="18"/>
  <c r="P228" i="18"/>
  <c r="P229" i="18"/>
  <c r="P230" i="18"/>
  <c r="P231" i="18"/>
  <c r="P232" i="18"/>
  <c r="P233" i="18"/>
  <c r="P234" i="18"/>
  <c r="P235" i="18"/>
  <c r="P236" i="18"/>
  <c r="P237" i="18"/>
  <c r="P238" i="18"/>
  <c r="P239" i="18"/>
  <c r="P240" i="18"/>
  <c r="P241" i="18"/>
  <c r="P242" i="18"/>
  <c r="P243" i="18"/>
  <c r="P244" i="18"/>
  <c r="P245" i="18"/>
  <c r="P246" i="18"/>
  <c r="P247" i="18"/>
  <c r="P248" i="18"/>
  <c r="P249" i="18"/>
  <c r="P250" i="18"/>
  <c r="P251" i="18"/>
  <c r="P252" i="18"/>
  <c r="P253" i="18"/>
  <c r="P254" i="18"/>
  <c r="P255" i="18"/>
  <c r="P256" i="18"/>
  <c r="P257" i="18"/>
  <c r="P258" i="18"/>
  <c r="P259" i="18"/>
  <c r="P260" i="18"/>
  <c r="P261" i="18"/>
  <c r="P262" i="18"/>
  <c r="P263" i="18"/>
  <c r="P264" i="18"/>
  <c r="P265" i="18"/>
  <c r="P266" i="18"/>
  <c r="P267" i="18"/>
  <c r="P268" i="18"/>
  <c r="P269" i="18"/>
  <c r="P270" i="18"/>
  <c r="P271" i="18"/>
  <c r="P272" i="18"/>
  <c r="P273" i="18"/>
  <c r="P274" i="18"/>
  <c r="P275" i="18"/>
  <c r="P276" i="18"/>
  <c r="P277" i="18"/>
  <c r="P278" i="18"/>
  <c r="P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189" i="18"/>
  <c r="J190" i="18"/>
  <c r="J191" i="18"/>
  <c r="J192" i="18"/>
  <c r="J193" i="18"/>
  <c r="J194" i="18"/>
  <c r="J195" i="18"/>
  <c r="J196" i="18"/>
  <c r="J197" i="18"/>
  <c r="J198" i="18"/>
  <c r="J199" i="18"/>
  <c r="J200" i="18"/>
  <c r="J201" i="18"/>
  <c r="J202" i="18"/>
  <c r="J203" i="18"/>
  <c r="J204" i="18"/>
  <c r="J205" i="18"/>
  <c r="J206" i="18"/>
  <c r="J207" i="18"/>
  <c r="J208" i="18"/>
  <c r="J209" i="18"/>
  <c r="J210" i="18"/>
  <c r="J211" i="18"/>
  <c r="J212" i="18"/>
  <c r="J213" i="18"/>
  <c r="J214" i="18"/>
  <c r="J215" i="18"/>
  <c r="J216" i="18"/>
  <c r="J217" i="18"/>
  <c r="J218" i="18"/>
  <c r="J219" i="18"/>
  <c r="J220" i="18"/>
  <c r="J221" i="18"/>
  <c r="J222" i="18"/>
  <c r="J223" i="18"/>
  <c r="J224" i="18"/>
  <c r="J225" i="18"/>
  <c r="J226" i="18"/>
  <c r="J227" i="18"/>
  <c r="J228" i="18"/>
  <c r="J229" i="18"/>
  <c r="J230" i="18"/>
  <c r="J231" i="18"/>
  <c r="J232" i="18"/>
  <c r="J233" i="18"/>
  <c r="J234" i="18"/>
  <c r="J235" i="18"/>
  <c r="J236" i="18"/>
  <c r="J237" i="18"/>
  <c r="J238" i="18"/>
  <c r="J239" i="18"/>
  <c r="J240" i="18"/>
  <c r="J241" i="18"/>
  <c r="J242" i="18"/>
  <c r="J243" i="18"/>
  <c r="J244" i="18"/>
  <c r="J245" i="18"/>
  <c r="J246" i="18"/>
  <c r="J247" i="18"/>
  <c r="J248" i="18"/>
  <c r="J249" i="18"/>
  <c r="J250" i="18"/>
  <c r="J251" i="18"/>
  <c r="J252" i="18"/>
  <c r="J253" i="18"/>
  <c r="J254" i="18"/>
  <c r="J255" i="18"/>
  <c r="J256" i="18"/>
  <c r="J257" i="18"/>
  <c r="J258" i="18"/>
  <c r="J259" i="18"/>
  <c r="J260" i="18"/>
  <c r="J261" i="18"/>
  <c r="J262" i="18"/>
  <c r="J263" i="18"/>
  <c r="J264" i="18"/>
  <c r="J265" i="18"/>
  <c r="J266" i="18"/>
  <c r="J267" i="18"/>
  <c r="J268" i="18"/>
  <c r="J269" i="18"/>
  <c r="J270" i="18"/>
  <c r="J271" i="18"/>
  <c r="J272" i="18"/>
  <c r="J273" i="18"/>
  <c r="J274" i="18"/>
  <c r="J275" i="18"/>
  <c r="J276" i="18"/>
  <c r="J277" i="18"/>
  <c r="J278" i="18"/>
  <c r="J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6" i="18"/>
  <c r="E8" i="31"/>
  <c r="E12" i="31" s="1"/>
  <c r="E14" i="31" s="1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4" i="18"/>
  <c r="O95" i="18"/>
  <c r="O96" i="18"/>
  <c r="O97" i="18"/>
  <c r="O98" i="18"/>
  <c r="O99" i="18"/>
  <c r="O100" i="18"/>
  <c r="O101" i="18"/>
  <c r="O102" i="18"/>
  <c r="O103" i="18"/>
  <c r="O104" i="18"/>
  <c r="O105" i="18"/>
  <c r="O106" i="18"/>
  <c r="O107" i="18"/>
  <c r="O108" i="18"/>
  <c r="O109" i="18"/>
  <c r="O110" i="18"/>
  <c r="O111" i="18"/>
  <c r="O112" i="18"/>
  <c r="O113" i="18"/>
  <c r="O114" i="18"/>
  <c r="O115" i="18"/>
  <c r="O116" i="18"/>
  <c r="O117" i="18"/>
  <c r="O118" i="18"/>
  <c r="O119" i="18"/>
  <c r="O120" i="18"/>
  <c r="O121" i="18"/>
  <c r="O122" i="18"/>
  <c r="O123" i="18"/>
  <c r="O124" i="18"/>
  <c r="O125" i="18"/>
  <c r="O126" i="18"/>
  <c r="O127" i="18"/>
  <c r="O128" i="18"/>
  <c r="O129" i="18"/>
  <c r="O130" i="18"/>
  <c r="O131" i="18"/>
  <c r="O132" i="18"/>
  <c r="O133" i="18"/>
  <c r="O134" i="18"/>
  <c r="O135" i="18"/>
  <c r="O136" i="18"/>
  <c r="O137" i="18"/>
  <c r="O138" i="18"/>
  <c r="O139" i="18"/>
  <c r="O140" i="18"/>
  <c r="O141" i="18"/>
  <c r="O142" i="18"/>
  <c r="O143" i="18"/>
  <c r="O144" i="18"/>
  <c r="O145" i="18"/>
  <c r="O146" i="18"/>
  <c r="O147" i="18"/>
  <c r="O148" i="18"/>
  <c r="O149" i="18"/>
  <c r="O150" i="18"/>
  <c r="O151" i="18"/>
  <c r="O152" i="18"/>
  <c r="O153" i="18"/>
  <c r="O154" i="18"/>
  <c r="O155" i="18"/>
  <c r="O156" i="18"/>
  <c r="O157" i="18"/>
  <c r="O158" i="18"/>
  <c r="O159" i="18"/>
  <c r="O160" i="18"/>
  <c r="O161" i="18"/>
  <c r="O162" i="18"/>
  <c r="O163" i="18"/>
  <c r="O164" i="18"/>
  <c r="O165" i="18"/>
  <c r="O166" i="18"/>
  <c r="O167" i="18"/>
  <c r="O168" i="18"/>
  <c r="O169" i="18"/>
  <c r="O170" i="18"/>
  <c r="O171" i="18"/>
  <c r="O172" i="18"/>
  <c r="O173" i="18"/>
  <c r="O174" i="18"/>
  <c r="O175" i="18"/>
  <c r="O176" i="18"/>
  <c r="O177" i="18"/>
  <c r="O178" i="18"/>
  <c r="O179" i="18"/>
  <c r="O180" i="18"/>
  <c r="O181" i="18"/>
  <c r="O182" i="18"/>
  <c r="O183" i="18"/>
  <c r="O184" i="18"/>
  <c r="O185" i="18"/>
  <c r="O186" i="18"/>
  <c r="O187" i="18"/>
  <c r="O188" i="18"/>
  <c r="O189" i="18"/>
  <c r="O190" i="18"/>
  <c r="O191" i="18"/>
  <c r="O192" i="18"/>
  <c r="O193" i="18"/>
  <c r="O194" i="18"/>
  <c r="O195" i="18"/>
  <c r="O196" i="18"/>
  <c r="O197" i="18"/>
  <c r="O198" i="18"/>
  <c r="O199" i="18"/>
  <c r="O200" i="18"/>
  <c r="O201" i="18"/>
  <c r="O202" i="18"/>
  <c r="O203" i="18"/>
  <c r="O204" i="18"/>
  <c r="O205" i="18"/>
  <c r="O206" i="18"/>
  <c r="O207" i="18"/>
  <c r="O208" i="18"/>
  <c r="O209" i="18"/>
  <c r="O210" i="18"/>
  <c r="O211" i="18"/>
  <c r="O212" i="18"/>
  <c r="O213" i="18"/>
  <c r="O214" i="18"/>
  <c r="O215" i="18"/>
  <c r="O216" i="18"/>
  <c r="O217" i="18"/>
  <c r="O218" i="18"/>
  <c r="O219" i="18"/>
  <c r="O220" i="18"/>
  <c r="O221" i="18"/>
  <c r="O222" i="18"/>
  <c r="O223" i="18"/>
  <c r="O224" i="18"/>
  <c r="O225" i="18"/>
  <c r="O226" i="18"/>
  <c r="O227" i="18"/>
  <c r="O228" i="18"/>
  <c r="O229" i="18"/>
  <c r="O230" i="18"/>
  <c r="O231" i="18"/>
  <c r="O232" i="18"/>
  <c r="O233" i="18"/>
  <c r="O234" i="18"/>
  <c r="O235" i="18"/>
  <c r="O236" i="18"/>
  <c r="O237" i="18"/>
  <c r="O238" i="18"/>
  <c r="O239" i="18"/>
  <c r="O240" i="18"/>
  <c r="O241" i="18"/>
  <c r="O242" i="18"/>
  <c r="O243" i="18"/>
  <c r="O244" i="18"/>
  <c r="O245" i="18"/>
  <c r="O246" i="18"/>
  <c r="O247" i="18"/>
  <c r="O248" i="18"/>
  <c r="O249" i="18"/>
  <c r="O250" i="18"/>
  <c r="O251" i="18"/>
  <c r="O252" i="18"/>
  <c r="O253" i="18"/>
  <c r="O254" i="18"/>
  <c r="O255" i="18"/>
  <c r="O256" i="18"/>
  <c r="O257" i="18"/>
  <c r="O258" i="18"/>
  <c r="O259" i="18"/>
  <c r="O260" i="18"/>
  <c r="O261" i="18"/>
  <c r="O262" i="18"/>
  <c r="O263" i="18"/>
  <c r="O264" i="18"/>
  <c r="O265" i="18"/>
  <c r="O266" i="18"/>
  <c r="O267" i="18"/>
  <c r="O268" i="18"/>
  <c r="O269" i="18"/>
  <c r="O270" i="18"/>
  <c r="O271" i="18"/>
  <c r="O272" i="18"/>
  <c r="O273" i="18"/>
  <c r="O274" i="18"/>
  <c r="O275" i="18"/>
  <c r="O276" i="18"/>
  <c r="O277" i="18"/>
  <c r="O278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L102" i="18"/>
  <c r="L103" i="18"/>
  <c r="L104" i="18"/>
  <c r="L105" i="18"/>
  <c r="L106" i="18"/>
  <c r="L107" i="18"/>
  <c r="L108" i="18"/>
  <c r="L109" i="18"/>
  <c r="L110" i="18"/>
  <c r="L111" i="18"/>
  <c r="L112" i="18"/>
  <c r="L113" i="18"/>
  <c r="L114" i="18"/>
  <c r="L115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L128" i="18"/>
  <c r="L129" i="18"/>
  <c r="L130" i="18"/>
  <c r="L131" i="18"/>
  <c r="L132" i="18"/>
  <c r="L133" i="18"/>
  <c r="L134" i="18"/>
  <c r="L135" i="18"/>
  <c r="L136" i="18"/>
  <c r="L137" i="18"/>
  <c r="L138" i="18"/>
  <c r="L139" i="18"/>
  <c r="L140" i="18"/>
  <c r="L141" i="18"/>
  <c r="L142" i="18"/>
  <c r="L143" i="18"/>
  <c r="L144" i="18"/>
  <c r="L145" i="18"/>
  <c r="L146" i="18"/>
  <c r="L147" i="18"/>
  <c r="L148" i="18"/>
  <c r="L149" i="18"/>
  <c r="L150" i="18"/>
  <c r="L151" i="18"/>
  <c r="L152" i="18"/>
  <c r="L153" i="18"/>
  <c r="L154" i="18"/>
  <c r="L155" i="18"/>
  <c r="L156" i="18"/>
  <c r="L157" i="18"/>
  <c r="L158" i="18"/>
  <c r="L159" i="18"/>
  <c r="L160" i="18"/>
  <c r="L161" i="18"/>
  <c r="L162" i="18"/>
  <c r="L163" i="18"/>
  <c r="L164" i="18"/>
  <c r="L165" i="18"/>
  <c r="L166" i="18"/>
  <c r="L167" i="18"/>
  <c r="L168" i="18"/>
  <c r="L169" i="18"/>
  <c r="L170" i="18"/>
  <c r="L171" i="18"/>
  <c r="L172" i="18"/>
  <c r="L173" i="18"/>
  <c r="L174" i="18"/>
  <c r="L175" i="18"/>
  <c r="L176" i="18"/>
  <c r="L177" i="18"/>
  <c r="L178" i="18"/>
  <c r="L179" i="18"/>
  <c r="L180" i="18"/>
  <c r="L181" i="18"/>
  <c r="L182" i="18"/>
  <c r="L183" i="18"/>
  <c r="L184" i="18"/>
  <c r="L185" i="18"/>
  <c r="L186" i="18"/>
  <c r="L187" i="18"/>
  <c r="L188" i="18"/>
  <c r="L189" i="18"/>
  <c r="L190" i="18"/>
  <c r="L191" i="18"/>
  <c r="L192" i="18"/>
  <c r="L193" i="18"/>
  <c r="L194" i="18"/>
  <c r="L195" i="18"/>
  <c r="L196" i="18"/>
  <c r="L197" i="18"/>
  <c r="L198" i="18"/>
  <c r="L199" i="18"/>
  <c r="L200" i="18"/>
  <c r="L201" i="18"/>
  <c r="L202" i="18"/>
  <c r="L203" i="18"/>
  <c r="L204" i="18"/>
  <c r="L205" i="18"/>
  <c r="L206" i="18"/>
  <c r="L207" i="18"/>
  <c r="L208" i="18"/>
  <c r="L209" i="18"/>
  <c r="L210" i="18"/>
  <c r="L211" i="18"/>
  <c r="L212" i="18"/>
  <c r="L213" i="18"/>
  <c r="L214" i="18"/>
  <c r="L215" i="18"/>
  <c r="L216" i="18"/>
  <c r="L217" i="18"/>
  <c r="L218" i="18"/>
  <c r="L219" i="18"/>
  <c r="L220" i="18"/>
  <c r="L221" i="18"/>
  <c r="L222" i="18"/>
  <c r="L223" i="18"/>
  <c r="L224" i="18"/>
  <c r="L225" i="18"/>
  <c r="L226" i="18"/>
  <c r="L227" i="18"/>
  <c r="L228" i="18"/>
  <c r="L229" i="18"/>
  <c r="L230" i="18"/>
  <c r="L231" i="18"/>
  <c r="L232" i="18"/>
  <c r="L233" i="18"/>
  <c r="L234" i="18"/>
  <c r="L235" i="18"/>
  <c r="L236" i="18"/>
  <c r="L237" i="18"/>
  <c r="L238" i="18"/>
  <c r="L239" i="18"/>
  <c r="L240" i="18"/>
  <c r="L241" i="18"/>
  <c r="L242" i="18"/>
  <c r="L243" i="18"/>
  <c r="L244" i="18"/>
  <c r="L245" i="18"/>
  <c r="L246" i="18"/>
  <c r="L247" i="18"/>
  <c r="L248" i="18"/>
  <c r="L249" i="18"/>
  <c r="L250" i="18"/>
  <c r="L251" i="18"/>
  <c r="L252" i="18"/>
  <c r="L253" i="18"/>
  <c r="L254" i="18"/>
  <c r="L255" i="18"/>
  <c r="L256" i="18"/>
  <c r="L257" i="18"/>
  <c r="L258" i="18"/>
  <c r="L259" i="18"/>
  <c r="L260" i="18"/>
  <c r="L261" i="18"/>
  <c r="L262" i="18"/>
  <c r="L263" i="18"/>
  <c r="L264" i="18"/>
  <c r="L265" i="18"/>
  <c r="L266" i="18"/>
  <c r="L267" i="18"/>
  <c r="L268" i="18"/>
  <c r="L269" i="18"/>
  <c r="L270" i="18"/>
  <c r="L271" i="18"/>
  <c r="L272" i="18"/>
  <c r="L273" i="18"/>
  <c r="L274" i="18"/>
  <c r="L275" i="18"/>
  <c r="L276" i="18"/>
  <c r="L277" i="18"/>
  <c r="L278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F242" i="18"/>
  <c r="F243" i="18"/>
  <c r="F244" i="18"/>
  <c r="F245" i="18"/>
  <c r="F246" i="18"/>
  <c r="F247" i="18"/>
  <c r="F248" i="18"/>
  <c r="F249" i="18"/>
  <c r="F250" i="18"/>
  <c r="F251" i="18"/>
  <c r="F252" i="18"/>
  <c r="F253" i="18"/>
  <c r="F254" i="18"/>
  <c r="F255" i="18"/>
  <c r="F256" i="18"/>
  <c r="F257" i="18"/>
  <c r="F258" i="18"/>
  <c r="F259" i="18"/>
  <c r="F260" i="18"/>
  <c r="F261" i="18"/>
  <c r="F262" i="18"/>
  <c r="F263" i="18"/>
  <c r="F264" i="18"/>
  <c r="F265" i="18"/>
  <c r="F266" i="18"/>
  <c r="F267" i="18"/>
  <c r="F268" i="18"/>
  <c r="F269" i="18"/>
  <c r="F270" i="18"/>
  <c r="F271" i="18"/>
  <c r="F272" i="18"/>
  <c r="F273" i="18"/>
  <c r="F274" i="18"/>
  <c r="F275" i="18"/>
  <c r="F276" i="18"/>
  <c r="F277" i="18"/>
  <c r="F278" i="18"/>
  <c r="O26" i="18"/>
  <c r="L26" i="18"/>
  <c r="I26" i="18"/>
  <c r="F26" i="18"/>
  <c r="G121" i="31"/>
  <c r="L121" i="31"/>
  <c r="M121" i="31" s="1"/>
  <c r="I121" i="31"/>
  <c r="J121" i="31" s="1"/>
  <c r="G120" i="31"/>
  <c r="L120" i="31"/>
  <c r="M120" i="31" s="1"/>
  <c r="I120" i="31"/>
  <c r="J120" i="31" s="1"/>
  <c r="G269" i="31"/>
  <c r="L269" i="31"/>
  <c r="M269" i="31" s="1"/>
  <c r="G119" i="31"/>
  <c r="L119" i="31"/>
  <c r="M119" i="31" s="1"/>
  <c r="I119" i="31"/>
  <c r="J119" i="31" s="1"/>
  <c r="G238" i="31"/>
  <c r="L238" i="31"/>
  <c r="M238" i="31" s="1"/>
  <c r="I238" i="31"/>
  <c r="J238" i="31" s="1"/>
  <c r="G187" i="31"/>
  <c r="L187" i="31"/>
  <c r="M187" i="31" s="1"/>
  <c r="L186" i="31"/>
  <c r="M186" i="31" s="1"/>
  <c r="I186" i="31"/>
  <c r="J186" i="31" s="1"/>
  <c r="G268" i="31"/>
  <c r="L268" i="31"/>
  <c r="M268" i="31" s="1"/>
  <c r="I268" i="31"/>
  <c r="J268" i="31" s="1"/>
  <c r="G185" i="31"/>
  <c r="L185" i="31"/>
  <c r="M185" i="31" s="1"/>
  <c r="I185" i="31"/>
  <c r="J185" i="31" s="1"/>
  <c r="G118" i="31"/>
  <c r="L118" i="31"/>
  <c r="M118" i="31" s="1"/>
  <c r="G237" i="31"/>
  <c r="L237" i="31"/>
  <c r="M237" i="31" s="1"/>
  <c r="I237" i="31"/>
  <c r="J237" i="31" s="1"/>
  <c r="G184" i="31"/>
  <c r="L184" i="31"/>
  <c r="M184" i="31" s="1"/>
  <c r="I184" i="31"/>
  <c r="J184" i="31" s="1"/>
  <c r="G183" i="31"/>
  <c r="L183" i="31"/>
  <c r="M183" i="31" s="1"/>
  <c r="I183" i="31"/>
  <c r="J183" i="31" s="1"/>
  <c r="G182" i="31"/>
  <c r="L182" i="31"/>
  <c r="M182" i="31" s="1"/>
  <c r="I182" i="31"/>
  <c r="J182" i="31" s="1"/>
  <c r="G236" i="31"/>
  <c r="I236" i="31"/>
  <c r="J236" i="31" s="1"/>
  <c r="G235" i="31"/>
  <c r="L235" i="31"/>
  <c r="M235" i="31" s="1"/>
  <c r="I235" i="31"/>
  <c r="J235" i="31" s="1"/>
  <c r="G181" i="31"/>
  <c r="L181" i="31"/>
  <c r="M181" i="31" s="1"/>
  <c r="I181" i="31"/>
  <c r="J181" i="31" s="1"/>
  <c r="G117" i="31"/>
  <c r="L117" i="31"/>
  <c r="M117" i="31" s="1"/>
  <c r="G116" i="31"/>
  <c r="L116" i="31"/>
  <c r="M116" i="31" s="1"/>
  <c r="G180" i="31"/>
  <c r="L180" i="31"/>
  <c r="M180" i="31" s="1"/>
  <c r="I180" i="31"/>
  <c r="J180" i="31" s="1"/>
  <c r="G115" i="31"/>
  <c r="L115" i="31"/>
  <c r="M115" i="31" s="1"/>
  <c r="G179" i="31"/>
  <c r="L179" i="31"/>
  <c r="M179" i="31" s="1"/>
  <c r="G114" i="31"/>
  <c r="I114" i="31"/>
  <c r="J114" i="31" s="1"/>
  <c r="L234" i="31"/>
  <c r="M234" i="31" s="1"/>
  <c r="I234" i="31"/>
  <c r="J234" i="31" s="1"/>
  <c r="G267" i="31"/>
  <c r="L267" i="31"/>
  <c r="M267" i="31" s="1"/>
  <c r="L266" i="31"/>
  <c r="M266" i="31" s="1"/>
  <c r="I266" i="31"/>
  <c r="J266" i="31" s="1"/>
  <c r="G233" i="31"/>
  <c r="L233" i="31"/>
  <c r="M233" i="31" s="1"/>
  <c r="G232" i="31"/>
  <c r="L232" i="31"/>
  <c r="M232" i="31" s="1"/>
  <c r="L74" i="31"/>
  <c r="M74" i="31" s="1"/>
  <c r="G231" i="31"/>
  <c r="L231" i="31"/>
  <c r="M231" i="31" s="1"/>
  <c r="G230" i="31"/>
  <c r="L230" i="31"/>
  <c r="M230" i="31" s="1"/>
  <c r="G113" i="31"/>
  <c r="L113" i="31"/>
  <c r="M113" i="31" s="1"/>
  <c r="G229" i="31"/>
  <c r="L229" i="31"/>
  <c r="M229" i="31" s="1"/>
  <c r="I229" i="31"/>
  <c r="J229" i="31" s="1"/>
  <c r="G73" i="31"/>
  <c r="I73" i="31"/>
  <c r="J73" i="31" s="1"/>
  <c r="G228" i="31"/>
  <c r="L228" i="31"/>
  <c r="M228" i="31" s="1"/>
  <c r="G112" i="31"/>
  <c r="L112" i="31"/>
  <c r="M112" i="31" s="1"/>
  <c r="I112" i="31"/>
  <c r="J112" i="31" s="1"/>
  <c r="G227" i="31"/>
  <c r="L227" i="31"/>
  <c r="M227" i="31" s="1"/>
  <c r="G111" i="31"/>
  <c r="L111" i="31"/>
  <c r="M111" i="31" s="1"/>
  <c r="G226" i="31"/>
  <c r="I226" i="31"/>
  <c r="J226" i="31" s="1"/>
  <c r="G110" i="31"/>
  <c r="L110" i="31"/>
  <c r="M110" i="31" s="1"/>
  <c r="I110" i="31"/>
  <c r="J110" i="31" s="1"/>
  <c r="G109" i="31"/>
  <c r="L109" i="31"/>
  <c r="M109" i="31" s="1"/>
  <c r="I109" i="31"/>
  <c r="J109" i="31" s="1"/>
  <c r="G108" i="31"/>
  <c r="L108" i="31"/>
  <c r="M108" i="31" s="1"/>
  <c r="I108" i="31"/>
  <c r="J108" i="31" s="1"/>
  <c r="G72" i="31"/>
  <c r="L72" i="31"/>
  <c r="M72" i="31" s="1"/>
  <c r="I72" i="31"/>
  <c r="J72" i="31" s="1"/>
  <c r="G53" i="31"/>
  <c r="L53" i="31"/>
  <c r="M53" i="31" s="1"/>
  <c r="I53" i="31"/>
  <c r="J53" i="31" s="1"/>
  <c r="G225" i="31"/>
  <c r="L225" i="31"/>
  <c r="M225" i="31" s="1"/>
  <c r="G224" i="31"/>
  <c r="L224" i="31"/>
  <c r="M224" i="31" s="1"/>
  <c r="I224" i="31"/>
  <c r="J224" i="31" s="1"/>
  <c r="G223" i="31"/>
  <c r="I223" i="31"/>
  <c r="J223" i="31" s="1"/>
  <c r="G178" i="31"/>
  <c r="L178" i="31"/>
  <c r="M178" i="31" s="1"/>
  <c r="G177" i="31"/>
  <c r="L177" i="31"/>
  <c r="M177" i="31" s="1"/>
  <c r="I177" i="31"/>
  <c r="J177" i="31" s="1"/>
  <c r="G176" i="31"/>
  <c r="L176" i="31"/>
  <c r="M176" i="31" s="1"/>
  <c r="I176" i="31"/>
  <c r="J176" i="31" s="1"/>
  <c r="G107" i="31"/>
  <c r="L107" i="31"/>
  <c r="M107" i="31" s="1"/>
  <c r="G222" i="31"/>
  <c r="L222" i="31"/>
  <c r="M222" i="31" s="1"/>
  <c r="I222" i="31"/>
  <c r="J222" i="31" s="1"/>
  <c r="L106" i="31"/>
  <c r="M106" i="31" s="1"/>
  <c r="G105" i="31"/>
  <c r="L105" i="31"/>
  <c r="M105" i="31" s="1"/>
  <c r="G221" i="31"/>
  <c r="I221" i="31"/>
  <c r="J221" i="31" s="1"/>
  <c r="G220" i="31"/>
  <c r="L220" i="31"/>
  <c r="M220" i="31" s="1"/>
  <c r="I220" i="31"/>
  <c r="J220" i="31" s="1"/>
  <c r="G219" i="31"/>
  <c r="L219" i="31"/>
  <c r="M219" i="31" s="1"/>
  <c r="I219" i="31"/>
  <c r="J219" i="31" s="1"/>
  <c r="G265" i="31"/>
  <c r="L265" i="31"/>
  <c r="M265" i="31" s="1"/>
  <c r="I265" i="31"/>
  <c r="J265" i="31" s="1"/>
  <c r="G104" i="31"/>
  <c r="L104" i="31"/>
  <c r="M104" i="31" s="1"/>
  <c r="G103" i="31"/>
  <c r="L103" i="31"/>
  <c r="M103" i="31" s="1"/>
  <c r="I103" i="31"/>
  <c r="J103" i="31" s="1"/>
  <c r="L218" i="31"/>
  <c r="M218" i="31" s="1"/>
  <c r="G217" i="31"/>
  <c r="L217" i="31"/>
  <c r="M217" i="31" s="1"/>
  <c r="G102" i="31"/>
  <c r="I102" i="31"/>
  <c r="J102" i="31" s="1"/>
  <c r="G216" i="31"/>
  <c r="L216" i="31"/>
  <c r="M216" i="31" s="1"/>
  <c r="I216" i="31"/>
  <c r="J216" i="31" s="1"/>
  <c r="G215" i="31"/>
  <c r="L215" i="31"/>
  <c r="M215" i="31" s="1"/>
  <c r="I215" i="31"/>
  <c r="J215" i="31" s="1"/>
  <c r="G101" i="31"/>
  <c r="L101" i="31"/>
  <c r="M101" i="31" s="1"/>
  <c r="I101" i="31"/>
  <c r="J101" i="31" s="1"/>
  <c r="G214" i="31"/>
  <c r="L214" i="31"/>
  <c r="M214" i="31" s="1"/>
  <c r="G213" i="31"/>
  <c r="L213" i="31"/>
  <c r="M213" i="31" s="1"/>
  <c r="I213" i="31"/>
  <c r="J213" i="31" s="1"/>
  <c r="G212" i="31"/>
  <c r="L212" i="31"/>
  <c r="M212" i="31" s="1"/>
  <c r="G211" i="31"/>
  <c r="L211" i="31"/>
  <c r="M211" i="31" s="1"/>
  <c r="G100" i="31"/>
  <c r="I100" i="31"/>
  <c r="J100" i="31" s="1"/>
  <c r="G210" i="31"/>
  <c r="L210" i="31"/>
  <c r="M210" i="31" s="1"/>
  <c r="I210" i="31"/>
  <c r="J210" i="31" s="1"/>
  <c r="G175" i="31"/>
  <c r="L175" i="31"/>
  <c r="M175" i="31" s="1"/>
  <c r="I175" i="31"/>
  <c r="J175" i="31" s="1"/>
  <c r="G209" i="31"/>
  <c r="L209" i="31"/>
  <c r="M209" i="31" s="1"/>
  <c r="I209" i="31"/>
  <c r="J209" i="31" s="1"/>
  <c r="G99" i="31"/>
  <c r="L99" i="31"/>
  <c r="M99" i="31" s="1"/>
  <c r="G264" i="31"/>
  <c r="L264" i="31"/>
  <c r="M264" i="31" s="1"/>
  <c r="I264" i="31"/>
  <c r="J264" i="31" s="1"/>
  <c r="L98" i="31"/>
  <c r="M98" i="31" s="1"/>
  <c r="G97" i="31"/>
  <c r="L97" i="31"/>
  <c r="M97" i="31" s="1"/>
  <c r="G208" i="31"/>
  <c r="L208" i="31"/>
  <c r="M208" i="31" s="1"/>
  <c r="G52" i="31"/>
  <c r="L52" i="31"/>
  <c r="M52" i="31" s="1"/>
  <c r="I52" i="31"/>
  <c r="J52" i="31" s="1"/>
  <c r="G96" i="31"/>
  <c r="L96" i="31"/>
  <c r="M96" i="31" s="1"/>
  <c r="I96" i="31"/>
  <c r="J96" i="31" s="1"/>
  <c r="G174" i="31"/>
  <c r="L174" i="31"/>
  <c r="M174" i="31" s="1"/>
  <c r="I174" i="31"/>
  <c r="J174" i="31" s="1"/>
  <c r="G71" i="31"/>
  <c r="L71" i="31"/>
  <c r="M71" i="31" s="1"/>
  <c r="G207" i="31"/>
  <c r="L207" i="31"/>
  <c r="M207" i="31" s="1"/>
  <c r="I207" i="31"/>
  <c r="J207" i="31" s="1"/>
  <c r="G95" i="31"/>
  <c r="L95" i="31"/>
  <c r="M95" i="31" s="1"/>
  <c r="G173" i="31"/>
  <c r="L173" i="31"/>
  <c r="M173" i="31" s="1"/>
  <c r="G70" i="31"/>
  <c r="L70" i="31"/>
  <c r="M70" i="31" s="1"/>
  <c r="G69" i="31"/>
  <c r="L69" i="31"/>
  <c r="M69" i="31" s="1"/>
  <c r="I69" i="31"/>
  <c r="J69" i="31" s="1"/>
  <c r="G172" i="31"/>
  <c r="L172" i="31"/>
  <c r="M172" i="31" s="1"/>
  <c r="I172" i="31"/>
  <c r="J172" i="31" s="1"/>
  <c r="G206" i="31"/>
  <c r="L206" i="31"/>
  <c r="M206" i="31" s="1"/>
  <c r="I206" i="31"/>
  <c r="J206" i="31" s="1"/>
  <c r="G171" i="31"/>
  <c r="L171" i="31"/>
  <c r="M171" i="31" s="1"/>
  <c r="L170" i="31"/>
  <c r="M170" i="31" s="1"/>
  <c r="I170" i="31"/>
  <c r="J170" i="31" s="1"/>
  <c r="G94" i="31"/>
  <c r="L94" i="31"/>
  <c r="M94" i="31" s="1"/>
  <c r="G205" i="31"/>
  <c r="L205" i="31"/>
  <c r="M205" i="31" s="1"/>
  <c r="G93" i="31"/>
  <c r="L93" i="31"/>
  <c r="M93" i="31" s="1"/>
  <c r="G68" i="31"/>
  <c r="L68" i="31"/>
  <c r="M68" i="31" s="1"/>
  <c r="I68" i="31"/>
  <c r="J68" i="31" s="1"/>
  <c r="G92" i="31"/>
  <c r="L92" i="31"/>
  <c r="M92" i="31" s="1"/>
  <c r="I92" i="31"/>
  <c r="J92" i="31" s="1"/>
  <c r="G204" i="31"/>
  <c r="L204" i="31"/>
  <c r="M204" i="31" s="1"/>
  <c r="I204" i="31"/>
  <c r="J204" i="31" s="1"/>
  <c r="G91" i="31"/>
  <c r="L91" i="31"/>
  <c r="M91" i="31" s="1"/>
  <c r="G169" i="31"/>
  <c r="L169" i="31"/>
  <c r="M169" i="31" s="1"/>
  <c r="I169" i="31"/>
  <c r="J169" i="31" s="1"/>
  <c r="G168" i="31"/>
  <c r="L168" i="31"/>
  <c r="M168" i="31" s="1"/>
  <c r="L90" i="31"/>
  <c r="M90" i="31" s="1"/>
  <c r="G203" i="31"/>
  <c r="L203" i="31"/>
  <c r="M203" i="31" s="1"/>
  <c r="L202" i="31"/>
  <c r="M202" i="31" s="1"/>
  <c r="I202" i="31"/>
  <c r="J202" i="31" s="1"/>
  <c r="G89" i="31"/>
  <c r="L89" i="31"/>
  <c r="M89" i="31" s="1"/>
  <c r="I89" i="31"/>
  <c r="J89" i="31" s="1"/>
  <c r="G167" i="31"/>
  <c r="L167" i="31"/>
  <c r="M167" i="31" s="1"/>
  <c r="I167" i="31"/>
  <c r="J167" i="31" s="1"/>
  <c r="G88" i="31"/>
  <c r="L88" i="31"/>
  <c r="M88" i="31" s="1"/>
  <c r="G263" i="31"/>
  <c r="L263" i="31"/>
  <c r="M263" i="31" s="1"/>
  <c r="I263" i="31"/>
  <c r="J263" i="31" s="1"/>
  <c r="G262" i="31"/>
  <c r="L262" i="31"/>
  <c r="M262" i="31" s="1"/>
  <c r="G87" i="31"/>
  <c r="L87" i="31"/>
  <c r="M87" i="31" s="1"/>
  <c r="G86" i="31"/>
  <c r="L86" i="31"/>
  <c r="M86" i="31" s="1"/>
  <c r="G85" i="31"/>
  <c r="L85" i="31"/>
  <c r="M85" i="31" s="1"/>
  <c r="I85" i="31"/>
  <c r="J85" i="31" s="1"/>
  <c r="L84" i="31"/>
  <c r="M84" i="31" s="1"/>
  <c r="I84" i="31"/>
  <c r="J84" i="31" s="1"/>
  <c r="G83" i="31"/>
  <c r="L83" i="31"/>
  <c r="M83" i="31" s="1"/>
  <c r="I83" i="31"/>
  <c r="J83" i="31" s="1"/>
  <c r="G82" i="31"/>
  <c r="L82" i="31"/>
  <c r="M82" i="31" s="1"/>
  <c r="G201" i="31"/>
  <c r="L201" i="31"/>
  <c r="M201" i="31" s="1"/>
  <c r="I201" i="31"/>
  <c r="J201" i="31" s="1"/>
  <c r="G67" i="31"/>
  <c r="L67" i="31"/>
  <c r="M67" i="31" s="1"/>
  <c r="G166" i="31"/>
  <c r="L166" i="31"/>
  <c r="M166" i="31" s="1"/>
  <c r="G200" i="31"/>
  <c r="L200" i="31"/>
  <c r="M200" i="31" s="1"/>
  <c r="G199" i="31"/>
  <c r="L199" i="31"/>
  <c r="M199" i="31" s="1"/>
  <c r="I199" i="31"/>
  <c r="J199" i="31" s="1"/>
  <c r="G198" i="31"/>
  <c r="L198" i="31"/>
  <c r="M198" i="31" s="1"/>
  <c r="I198" i="31"/>
  <c r="J198" i="31" s="1"/>
  <c r="G197" i="31"/>
  <c r="L197" i="31"/>
  <c r="M197" i="31" s="1"/>
  <c r="I197" i="31"/>
  <c r="J197" i="31" s="1"/>
  <c r="G165" i="31"/>
  <c r="L165" i="31"/>
  <c r="M165" i="31" s="1"/>
  <c r="G81" i="31"/>
  <c r="L81" i="31"/>
  <c r="M81" i="31" s="1"/>
  <c r="I81" i="31"/>
  <c r="J81" i="31" s="1"/>
  <c r="G51" i="31"/>
  <c r="L51" i="31"/>
  <c r="M51" i="31" s="1"/>
  <c r="G164" i="31"/>
  <c r="L164" i="31"/>
  <c r="M164" i="31" s="1"/>
  <c r="G261" i="31"/>
  <c r="L261" i="31"/>
  <c r="M261" i="31" s="1"/>
  <c r="L66" i="31"/>
  <c r="M66" i="31" s="1"/>
  <c r="I66" i="31"/>
  <c r="J66" i="31" s="1"/>
  <c r="L80" i="31"/>
  <c r="M80" i="31" s="1"/>
  <c r="I80" i="31"/>
  <c r="J80" i="31" s="1"/>
  <c r="G163" i="31"/>
  <c r="L163" i="31"/>
  <c r="M163" i="31" s="1"/>
  <c r="I163" i="31"/>
  <c r="J163" i="31" s="1"/>
  <c r="G162" i="31"/>
  <c r="L162" i="31"/>
  <c r="M162" i="31" s="1"/>
  <c r="I162" i="31"/>
  <c r="J162" i="31" s="1"/>
  <c r="G161" i="31"/>
  <c r="L161" i="31"/>
  <c r="M161" i="31" s="1"/>
  <c r="I161" i="31"/>
  <c r="J161" i="31" s="1"/>
  <c r="G260" i="31"/>
  <c r="L260" i="31"/>
  <c r="M260" i="31" s="1"/>
  <c r="G160" i="31"/>
  <c r="L160" i="31"/>
  <c r="M160" i="31" s="1"/>
  <c r="G159" i="31"/>
  <c r="L159" i="31"/>
  <c r="M159" i="31" s="1"/>
  <c r="G259" i="31"/>
  <c r="L259" i="31"/>
  <c r="M259" i="31" s="1"/>
  <c r="I259" i="31"/>
  <c r="J259" i="31" s="1"/>
  <c r="G196" i="31"/>
  <c r="L196" i="31"/>
  <c r="M196" i="31" s="1"/>
  <c r="I196" i="31"/>
  <c r="J196" i="31" s="1"/>
  <c r="G258" i="31"/>
  <c r="L258" i="31"/>
  <c r="M258" i="31" s="1"/>
  <c r="I258" i="31"/>
  <c r="J258" i="31" s="1"/>
  <c r="G195" i="31"/>
  <c r="L195" i="31"/>
  <c r="M195" i="31" s="1"/>
  <c r="G158" i="31"/>
  <c r="I158" i="31"/>
  <c r="J158" i="31" s="1"/>
  <c r="G257" i="31"/>
  <c r="L257" i="31"/>
  <c r="M257" i="31" s="1"/>
  <c r="G65" i="31"/>
  <c r="L65" i="31"/>
  <c r="M65" i="31" s="1"/>
  <c r="G256" i="31"/>
  <c r="L256" i="31"/>
  <c r="M256" i="31" s="1"/>
  <c r="G255" i="31"/>
  <c r="L255" i="31"/>
  <c r="M255" i="31" s="1"/>
  <c r="I255" i="31"/>
  <c r="J255" i="31" s="1"/>
  <c r="G254" i="31"/>
  <c r="L254" i="31"/>
  <c r="M254" i="31" s="1"/>
  <c r="I254" i="31"/>
  <c r="J254" i="31" s="1"/>
  <c r="G253" i="31"/>
  <c r="L253" i="31"/>
  <c r="M253" i="31" s="1"/>
  <c r="I253" i="31"/>
  <c r="J253" i="31" s="1"/>
  <c r="G252" i="31"/>
  <c r="L252" i="31"/>
  <c r="M252" i="31" s="1"/>
  <c r="G157" i="31"/>
  <c r="L157" i="31"/>
  <c r="M157" i="31" s="1"/>
  <c r="I157" i="31"/>
  <c r="J157" i="31" s="1"/>
  <c r="G251" i="31"/>
  <c r="L251" i="31"/>
  <c r="M251" i="31" s="1"/>
  <c r="G156" i="31"/>
  <c r="L156" i="31"/>
  <c r="M156" i="31" s="1"/>
  <c r="G155" i="31"/>
  <c r="L155" i="31"/>
  <c r="M155" i="31" s="1"/>
  <c r="G79" i="31"/>
  <c r="L79" i="31"/>
  <c r="M79" i="31" s="1"/>
  <c r="I79" i="31"/>
  <c r="J79" i="31" s="1"/>
  <c r="L31" i="31"/>
  <c r="M31" i="31" s="1"/>
  <c r="I31" i="31"/>
  <c r="J31" i="31" s="1"/>
  <c r="L154" i="31"/>
  <c r="M154" i="31" s="1"/>
  <c r="I154" i="31"/>
  <c r="J154" i="31" s="1"/>
  <c r="G153" i="31"/>
  <c r="L153" i="31"/>
  <c r="M153" i="31" s="1"/>
  <c r="G78" i="31"/>
  <c r="L78" i="31"/>
  <c r="M78" i="31" s="1"/>
  <c r="I78" i="31"/>
  <c r="J78" i="31" s="1"/>
  <c r="G50" i="31"/>
  <c r="L50" i="31"/>
  <c r="M50" i="31" s="1"/>
  <c r="G64" i="31"/>
  <c r="L64" i="31"/>
  <c r="M64" i="31" s="1"/>
  <c r="G77" i="31"/>
  <c r="L77" i="31"/>
  <c r="M77" i="31" s="1"/>
  <c r="G250" i="31"/>
  <c r="L250" i="31"/>
  <c r="M250" i="31" s="1"/>
  <c r="G249" i="31"/>
  <c r="L249" i="31"/>
  <c r="M249" i="31" s="1"/>
  <c r="I249" i="31"/>
  <c r="J249" i="31" s="1"/>
  <c r="G76" i="31"/>
  <c r="L76" i="31"/>
  <c r="M76" i="31" s="1"/>
  <c r="I76" i="31"/>
  <c r="J76" i="31" s="1"/>
  <c r="G194" i="31"/>
  <c r="L194" i="31"/>
  <c r="M194" i="31" s="1"/>
  <c r="I194" i="31"/>
  <c r="J194" i="31" s="1"/>
  <c r="G193" i="31"/>
  <c r="L193" i="31"/>
  <c r="M193" i="31" s="1"/>
  <c r="I193" i="31"/>
  <c r="J193" i="31" s="1"/>
  <c r="G75" i="31"/>
  <c r="L75" i="31"/>
  <c r="M75" i="31" s="1"/>
  <c r="G152" i="31"/>
  <c r="L152" i="31"/>
  <c r="M152" i="31" s="1"/>
  <c r="G151" i="31"/>
  <c r="L151" i="31"/>
  <c r="M151" i="31" s="1"/>
  <c r="G150" i="31"/>
  <c r="L150" i="31"/>
  <c r="M150" i="31" s="1"/>
  <c r="I150" i="31"/>
  <c r="J150" i="31" s="1"/>
  <c r="G192" i="31"/>
  <c r="L192" i="31"/>
  <c r="M192" i="31" s="1"/>
  <c r="I192" i="31"/>
  <c r="J192" i="31" s="1"/>
  <c r="G191" i="31"/>
  <c r="L191" i="31"/>
  <c r="M191" i="31" s="1"/>
  <c r="I191" i="31"/>
  <c r="J191" i="31" s="1"/>
  <c r="G248" i="31"/>
  <c r="L248" i="31"/>
  <c r="M248" i="31" s="1"/>
  <c r="G149" i="31"/>
  <c r="L149" i="31"/>
  <c r="M149" i="31" s="1"/>
  <c r="I149" i="31"/>
  <c r="J149" i="31" s="1"/>
  <c r="G148" i="31"/>
  <c r="L148" i="31"/>
  <c r="M148" i="31" s="1"/>
  <c r="G30" i="31"/>
  <c r="L30" i="31"/>
  <c r="M30" i="31" s="1"/>
  <c r="G147" i="31"/>
  <c r="L147" i="31"/>
  <c r="M147" i="31" s="1"/>
  <c r="G29" i="31"/>
  <c r="L29" i="31"/>
  <c r="M29" i="31" s="1"/>
  <c r="I29" i="31"/>
  <c r="J29" i="31" s="1"/>
  <c r="L247" i="31"/>
  <c r="M247" i="31" s="1"/>
  <c r="I247" i="31"/>
  <c r="J247" i="31" s="1"/>
  <c r="G146" i="31"/>
  <c r="L146" i="31"/>
  <c r="M146" i="31" s="1"/>
  <c r="I146" i="31"/>
  <c r="J146" i="31" s="1"/>
  <c r="G49" i="31"/>
  <c r="I49" i="31"/>
  <c r="J49" i="31" s="1"/>
  <c r="G145" i="31"/>
  <c r="L145" i="31"/>
  <c r="M145" i="31" s="1"/>
  <c r="I145" i="31"/>
  <c r="J145" i="31" s="1"/>
  <c r="G144" i="31"/>
  <c r="L144" i="31"/>
  <c r="M144" i="31" s="1"/>
  <c r="G143" i="31"/>
  <c r="L143" i="31"/>
  <c r="M143" i="31" s="1"/>
  <c r="G142" i="31"/>
  <c r="L142" i="31"/>
  <c r="M142" i="31" s="1"/>
  <c r="G38" i="31"/>
  <c r="L38" i="31"/>
  <c r="M38" i="31" s="1"/>
  <c r="I38" i="31"/>
  <c r="J38" i="31" s="1"/>
  <c r="L141" i="31"/>
  <c r="M141" i="31" s="1"/>
  <c r="I141" i="31"/>
  <c r="J141" i="31" s="1"/>
  <c r="G140" i="31"/>
  <c r="L140" i="31"/>
  <c r="M140" i="31" s="1"/>
  <c r="I140" i="31"/>
  <c r="J140" i="31" s="1"/>
  <c r="G139" i="31"/>
  <c r="I139" i="31"/>
  <c r="J139" i="31" s="1"/>
  <c r="G246" i="31"/>
  <c r="L246" i="31"/>
  <c r="M246" i="31" s="1"/>
  <c r="I246" i="31"/>
  <c r="J246" i="31" s="1"/>
  <c r="G245" i="31"/>
  <c r="L245" i="31"/>
  <c r="M245" i="31" s="1"/>
  <c r="L138" i="31"/>
  <c r="M138" i="31" s="1"/>
  <c r="G63" i="31"/>
  <c r="L63" i="31"/>
  <c r="M63" i="31" s="1"/>
  <c r="G137" i="31"/>
  <c r="L137" i="31"/>
  <c r="M137" i="31" s="1"/>
  <c r="I137" i="31"/>
  <c r="J137" i="31" s="1"/>
  <c r="L25" i="31"/>
  <c r="M25" i="31" s="1"/>
  <c r="I25" i="31"/>
  <c r="J25" i="31" s="1"/>
  <c r="G136" i="31"/>
  <c r="L136" i="31"/>
  <c r="M136" i="31" s="1"/>
  <c r="I136" i="31"/>
  <c r="J136" i="31" s="1"/>
  <c r="G190" i="31"/>
  <c r="I190" i="31"/>
  <c r="J190" i="31" s="1"/>
  <c r="G135" i="31"/>
  <c r="L135" i="31"/>
  <c r="M135" i="31" s="1"/>
  <c r="I135" i="31"/>
  <c r="J135" i="31" s="1"/>
  <c r="G134" i="31"/>
  <c r="L134" i="31"/>
  <c r="M134" i="31" s="1"/>
  <c r="G133" i="31"/>
  <c r="L133" i="31"/>
  <c r="M133" i="31" s="1"/>
  <c r="G62" i="31"/>
  <c r="L62" i="31"/>
  <c r="M62" i="31" s="1"/>
  <c r="G189" i="31"/>
  <c r="L189" i="31"/>
  <c r="M189" i="31" s="1"/>
  <c r="L244" i="31"/>
  <c r="M244" i="31" s="1"/>
  <c r="I244" i="31"/>
  <c r="J244" i="31" s="1"/>
  <c r="G132" i="31"/>
  <c r="L132" i="31"/>
  <c r="M132" i="31" s="1"/>
  <c r="I132" i="31"/>
  <c r="J132" i="31" s="1"/>
  <c r="G61" i="31"/>
  <c r="I61" i="31"/>
  <c r="J61" i="31" s="1"/>
  <c r="G60" i="31"/>
  <c r="L60" i="31"/>
  <c r="M60" i="31" s="1"/>
  <c r="I60" i="31"/>
  <c r="J60" i="31" s="1"/>
  <c r="G243" i="31"/>
  <c r="L243" i="31"/>
  <c r="M243" i="31" s="1"/>
  <c r="G131" i="31"/>
  <c r="L131" i="31"/>
  <c r="M131" i="31" s="1"/>
  <c r="G59" i="31"/>
  <c r="L59" i="31"/>
  <c r="M59" i="31" s="1"/>
  <c r="L130" i="31"/>
  <c r="M130" i="31" s="1"/>
  <c r="L129" i="31"/>
  <c r="M129" i="31" s="1"/>
  <c r="I129" i="31"/>
  <c r="J129" i="31" s="1"/>
  <c r="G242" i="31"/>
  <c r="L242" i="31"/>
  <c r="M242" i="31" s="1"/>
  <c r="I242" i="31"/>
  <c r="J242" i="31" s="1"/>
  <c r="G128" i="31"/>
  <c r="I128" i="31"/>
  <c r="J128" i="31" s="1"/>
  <c r="G48" i="31"/>
  <c r="L48" i="31"/>
  <c r="M48" i="31" s="1"/>
  <c r="I48" i="31"/>
  <c r="J48" i="31" s="1"/>
  <c r="G188" i="31"/>
  <c r="L188" i="31"/>
  <c r="M188" i="31" s="1"/>
  <c r="G47" i="31"/>
  <c r="L47" i="31"/>
  <c r="M47" i="31" s="1"/>
  <c r="G46" i="31"/>
  <c r="L46" i="31"/>
  <c r="M46" i="31" s="1"/>
  <c r="G37" i="31"/>
  <c r="L37" i="31"/>
  <c r="M37" i="31" s="1"/>
  <c r="L241" i="31"/>
  <c r="M241" i="31" s="1"/>
  <c r="I241" i="31"/>
  <c r="J241" i="31" s="1"/>
  <c r="G24" i="31"/>
  <c r="L24" i="31"/>
  <c r="M24" i="31" s="1"/>
  <c r="I24" i="31"/>
  <c r="J24" i="31" s="1"/>
  <c r="G127" i="31"/>
  <c r="I127" i="31"/>
  <c r="J127" i="31" s="1"/>
  <c r="G126" i="31"/>
  <c r="L126" i="31"/>
  <c r="M126" i="31" s="1"/>
  <c r="I126" i="31"/>
  <c r="J126" i="31" s="1"/>
  <c r="G240" i="31"/>
  <c r="L240" i="31"/>
  <c r="M240" i="31" s="1"/>
  <c r="L58" i="31"/>
  <c r="M58" i="31" s="1"/>
  <c r="G125" i="31"/>
  <c r="L125" i="31"/>
  <c r="M125" i="31" s="1"/>
  <c r="G45" i="31"/>
  <c r="L45" i="31"/>
  <c r="M45" i="31" s="1"/>
  <c r="L124" i="31"/>
  <c r="M124" i="31" s="1"/>
  <c r="I124" i="31"/>
  <c r="J124" i="31" s="1"/>
  <c r="G36" i="31"/>
  <c r="L36" i="31"/>
  <c r="M36" i="31" s="1"/>
  <c r="I36" i="31"/>
  <c r="J36" i="31" s="1"/>
  <c r="G35" i="31"/>
  <c r="I35" i="31"/>
  <c r="J35" i="31" s="1"/>
  <c r="G239" i="31"/>
  <c r="L239" i="31"/>
  <c r="M239" i="31" s="1"/>
  <c r="I239" i="31"/>
  <c r="J239" i="31" s="1"/>
  <c r="G23" i="31"/>
  <c r="L23" i="31"/>
  <c r="M23" i="31" s="1"/>
  <c r="G44" i="31"/>
  <c r="L44" i="31"/>
  <c r="M44" i="31" s="1"/>
  <c r="G43" i="31"/>
  <c r="L43" i="31"/>
  <c r="M43" i="31" s="1"/>
  <c r="L42" i="31"/>
  <c r="M42" i="31" s="1"/>
  <c r="L57" i="31"/>
  <c r="M57" i="31" s="1"/>
  <c r="I57" i="31"/>
  <c r="J57" i="31" s="1"/>
  <c r="G123" i="31"/>
  <c r="L123" i="31"/>
  <c r="M123" i="31" s="1"/>
  <c r="I123" i="31"/>
  <c r="J123" i="31" s="1"/>
  <c r="G56" i="31"/>
  <c r="I56" i="31"/>
  <c r="J56" i="31" s="1"/>
  <c r="L34" i="31"/>
  <c r="M34" i="31" s="1"/>
  <c r="I34" i="31"/>
  <c r="J34" i="31" s="1"/>
  <c r="G28" i="31"/>
  <c r="L28" i="31"/>
  <c r="M28" i="31" s="1"/>
  <c r="G22" i="31"/>
  <c r="L22" i="31"/>
  <c r="M22" i="31" s="1"/>
  <c r="G55" i="31"/>
  <c r="L55" i="31"/>
  <c r="M55" i="31" s="1"/>
  <c r="L122" i="31"/>
  <c r="M122" i="31" s="1"/>
  <c r="L33" i="31"/>
  <c r="M33" i="31" s="1"/>
  <c r="I33" i="31"/>
  <c r="J33" i="31" s="1"/>
  <c r="G41" i="31"/>
  <c r="L41" i="31"/>
  <c r="M41" i="31" s="1"/>
  <c r="I41" i="31"/>
  <c r="J41" i="31" s="1"/>
  <c r="G40" i="31"/>
  <c r="I40" i="31"/>
  <c r="J40" i="31" s="1"/>
  <c r="G21" i="31"/>
  <c r="L21" i="31"/>
  <c r="M21" i="31" s="1"/>
  <c r="I21" i="31"/>
  <c r="J21" i="31" s="1"/>
  <c r="G27" i="31"/>
  <c r="G32" i="31"/>
  <c r="L32" i="31"/>
  <c r="M32" i="31" s="1"/>
  <c r="G39" i="31"/>
  <c r="L39" i="31"/>
  <c r="M39" i="31" s="1"/>
  <c r="G54" i="31"/>
  <c r="L54" i="31"/>
  <c r="M54" i="31" s="1"/>
  <c r="L26" i="31"/>
  <c r="M26" i="31" s="1"/>
  <c r="I26" i="31"/>
  <c r="J26" i="31" s="1"/>
  <c r="G20" i="31"/>
  <c r="L20" i="31"/>
  <c r="M20" i="31" s="1"/>
  <c r="I20" i="31"/>
  <c r="J20" i="31" s="1"/>
  <c r="O242" i="31" l="1"/>
  <c r="P242" i="31" s="1"/>
  <c r="O167" i="31"/>
  <c r="P167" i="31" s="1"/>
  <c r="O250" i="31"/>
  <c r="O258" i="31"/>
  <c r="P258" i="31" s="1"/>
  <c r="O108" i="31"/>
  <c r="P108" i="31" s="1"/>
  <c r="I45" i="32"/>
  <c r="O209" i="31"/>
  <c r="P209" i="31" s="1"/>
  <c r="O110" i="31"/>
  <c r="P110" i="31" s="1"/>
  <c r="I235" i="32"/>
  <c r="O191" i="31"/>
  <c r="P191" i="31" s="1"/>
  <c r="O210" i="31"/>
  <c r="P210" i="31" s="1"/>
  <c r="I243" i="32"/>
  <c r="O185" i="31"/>
  <c r="I194" i="32"/>
  <c r="I231" i="32"/>
  <c r="I251" i="32"/>
  <c r="O178" i="31"/>
  <c r="P178" i="31" s="1"/>
  <c r="I207" i="32"/>
  <c r="I115" i="32"/>
  <c r="O158" i="31"/>
  <c r="P158" i="31" s="1"/>
  <c r="I77" i="31"/>
  <c r="J77" i="31" s="1"/>
  <c r="I261" i="31"/>
  <c r="J261" i="31" s="1"/>
  <c r="I67" i="31"/>
  <c r="J67" i="31" s="1"/>
  <c r="I93" i="31"/>
  <c r="J93" i="31" s="1"/>
  <c r="I95" i="31"/>
  <c r="J95" i="31" s="1"/>
  <c r="G98" i="31"/>
  <c r="I106" i="31"/>
  <c r="J106" i="31" s="1"/>
  <c r="G74" i="31"/>
  <c r="I233" i="31"/>
  <c r="J233" i="31" s="1"/>
  <c r="L236" i="31"/>
  <c r="M236" i="31" s="1"/>
  <c r="O184" i="31"/>
  <c r="P184" i="31" s="1"/>
  <c r="I246" i="32"/>
  <c r="L49" i="31"/>
  <c r="M49" i="31" s="1"/>
  <c r="I144" i="31"/>
  <c r="J144" i="31" s="1"/>
  <c r="O247" i="31"/>
  <c r="P247" i="31" s="1"/>
  <c r="I30" i="31"/>
  <c r="J30" i="31" s="1"/>
  <c r="I248" i="31"/>
  <c r="J248" i="31" s="1"/>
  <c r="I65" i="31"/>
  <c r="J65" i="31" s="1"/>
  <c r="I195" i="31"/>
  <c r="J195" i="31" s="1"/>
  <c r="O84" i="31"/>
  <c r="P84" i="31" s="1"/>
  <c r="I87" i="31"/>
  <c r="J87" i="31" s="1"/>
  <c r="I88" i="31"/>
  <c r="J88" i="31" s="1"/>
  <c r="G90" i="31"/>
  <c r="I97" i="31"/>
  <c r="J97" i="31" s="1"/>
  <c r="I99" i="31"/>
  <c r="J99" i="31" s="1"/>
  <c r="L102" i="31"/>
  <c r="M102" i="31" s="1"/>
  <c r="I231" i="31"/>
  <c r="J231" i="31" s="1"/>
  <c r="I250" i="31"/>
  <c r="J250" i="31" s="1"/>
  <c r="L35" i="31"/>
  <c r="M35" i="31" s="1"/>
  <c r="I240" i="31"/>
  <c r="J240" i="31" s="1"/>
  <c r="L128" i="31"/>
  <c r="M128" i="31" s="1"/>
  <c r="I122" i="31"/>
  <c r="J122" i="31" s="1"/>
  <c r="I45" i="31"/>
  <c r="J45" i="31" s="1"/>
  <c r="O244" i="31"/>
  <c r="P244" i="31" s="1"/>
  <c r="I39" i="31"/>
  <c r="J39" i="31" s="1"/>
  <c r="I43" i="31"/>
  <c r="J43" i="31" s="1"/>
  <c r="G241" i="31"/>
  <c r="I54" i="32"/>
  <c r="I62" i="31"/>
  <c r="J62" i="31" s="1"/>
  <c r="I245" i="31"/>
  <c r="J245" i="31" s="1"/>
  <c r="G247" i="31"/>
  <c r="I151" i="31"/>
  <c r="J151" i="31" s="1"/>
  <c r="I50" i="31"/>
  <c r="J50" i="31" s="1"/>
  <c r="I117" i="32"/>
  <c r="I159" i="31"/>
  <c r="J159" i="31" s="1"/>
  <c r="I51" i="31"/>
  <c r="J51" i="31" s="1"/>
  <c r="G84" i="31"/>
  <c r="I203" i="31"/>
  <c r="J203" i="31" s="1"/>
  <c r="I94" i="31"/>
  <c r="J94" i="31" s="1"/>
  <c r="G170" i="31"/>
  <c r="G106" i="31"/>
  <c r="I213" i="32"/>
  <c r="I267" i="31"/>
  <c r="J267" i="31" s="1"/>
  <c r="G234" i="31"/>
  <c r="G244" i="31"/>
  <c r="I178" i="31"/>
  <c r="J178" i="31" s="1"/>
  <c r="O241" i="31"/>
  <c r="P241" i="31" s="1"/>
  <c r="I130" i="31"/>
  <c r="J130" i="31" s="1"/>
  <c r="G57" i="31"/>
  <c r="I46" i="31"/>
  <c r="J46" i="31" s="1"/>
  <c r="G122" i="31"/>
  <c r="I22" i="31"/>
  <c r="J22" i="31" s="1"/>
  <c r="I58" i="31"/>
  <c r="J58" i="31" s="1"/>
  <c r="G130" i="31"/>
  <c r="I131" i="31"/>
  <c r="J131" i="31" s="1"/>
  <c r="O141" i="31"/>
  <c r="P141" i="31" s="1"/>
  <c r="I143" i="31"/>
  <c r="J143" i="31" s="1"/>
  <c r="O31" i="31"/>
  <c r="P31" i="31" s="1"/>
  <c r="I156" i="31"/>
  <c r="J156" i="31" s="1"/>
  <c r="I252" i="31"/>
  <c r="J252" i="31" s="1"/>
  <c r="I166" i="31"/>
  <c r="J166" i="31" s="1"/>
  <c r="I82" i="31"/>
  <c r="J82" i="31" s="1"/>
  <c r="I173" i="31"/>
  <c r="J173" i="31" s="1"/>
  <c r="I71" i="31"/>
  <c r="J71" i="31" s="1"/>
  <c r="L100" i="31"/>
  <c r="M100" i="31" s="1"/>
  <c r="I105" i="31"/>
  <c r="J105" i="31" s="1"/>
  <c r="I107" i="31"/>
  <c r="J107" i="31" s="1"/>
  <c r="L226" i="31"/>
  <c r="M226" i="31" s="1"/>
  <c r="I219" i="32"/>
  <c r="O112" i="31"/>
  <c r="P112" i="31" s="1"/>
  <c r="I222" i="32"/>
  <c r="O229" i="31"/>
  <c r="P229" i="31" s="1"/>
  <c r="I232" i="31"/>
  <c r="J232" i="31" s="1"/>
  <c r="G34" i="31"/>
  <c r="O57" i="31"/>
  <c r="P57" i="31" s="1"/>
  <c r="L56" i="31"/>
  <c r="M56" i="31" s="1"/>
  <c r="I23" i="31"/>
  <c r="J23" i="31" s="1"/>
  <c r="L127" i="31"/>
  <c r="M127" i="31" s="1"/>
  <c r="I188" i="31"/>
  <c r="J188" i="31" s="1"/>
  <c r="L61" i="31"/>
  <c r="M61" i="31" s="1"/>
  <c r="I134" i="31"/>
  <c r="J134" i="31" s="1"/>
  <c r="I70" i="32"/>
  <c r="I76" i="32"/>
  <c r="O49" i="31"/>
  <c r="P49" i="31" s="1"/>
  <c r="I147" i="31"/>
  <c r="J147" i="31" s="1"/>
  <c r="I75" i="31"/>
  <c r="J75" i="31" s="1"/>
  <c r="G31" i="31"/>
  <c r="I256" i="31"/>
  <c r="J256" i="31" s="1"/>
  <c r="I260" i="31"/>
  <c r="J260" i="31" s="1"/>
  <c r="G66" i="31"/>
  <c r="I86" i="31"/>
  <c r="J86" i="31" s="1"/>
  <c r="I168" i="31"/>
  <c r="J168" i="31" s="1"/>
  <c r="I208" i="31"/>
  <c r="J208" i="31" s="1"/>
  <c r="I212" i="31"/>
  <c r="J212" i="31" s="1"/>
  <c r="G218" i="31"/>
  <c r="I227" i="31"/>
  <c r="J227" i="31" s="1"/>
  <c r="I230" i="31"/>
  <c r="J230" i="31" s="1"/>
  <c r="G186" i="31"/>
  <c r="L158" i="31"/>
  <c r="M158" i="31" s="1"/>
  <c r="I251" i="31"/>
  <c r="J251" i="31" s="1"/>
  <c r="O26" i="31"/>
  <c r="P26" i="31" s="1"/>
  <c r="I27" i="31"/>
  <c r="J27" i="31" s="1"/>
  <c r="H3" i="32"/>
  <c r="I54" i="31"/>
  <c r="J54" i="31" s="1"/>
  <c r="F3" i="32"/>
  <c r="L27" i="31"/>
  <c r="M27" i="31" s="1"/>
  <c r="O33" i="31"/>
  <c r="P33" i="31" s="1"/>
  <c r="I42" i="31"/>
  <c r="J42" i="31" s="1"/>
  <c r="O124" i="31"/>
  <c r="P124" i="31" s="1"/>
  <c r="G58" i="31"/>
  <c r="O129" i="31"/>
  <c r="P129" i="31" s="1"/>
  <c r="I189" i="31"/>
  <c r="J189" i="31" s="1"/>
  <c r="O25" i="31"/>
  <c r="P25" i="31" s="1"/>
  <c r="I64" i="31"/>
  <c r="J64" i="31" s="1"/>
  <c r="I153" i="31"/>
  <c r="J153" i="31" s="1"/>
  <c r="G154" i="31"/>
  <c r="O80" i="31"/>
  <c r="P80" i="31" s="1"/>
  <c r="I164" i="31"/>
  <c r="J164" i="31" s="1"/>
  <c r="I165" i="31"/>
  <c r="J165" i="31" s="1"/>
  <c r="I158" i="32"/>
  <c r="O92" i="31"/>
  <c r="P92" i="31" s="1"/>
  <c r="I205" i="31"/>
  <c r="J205" i="31" s="1"/>
  <c r="I171" i="31"/>
  <c r="J171" i="31" s="1"/>
  <c r="I179" i="32"/>
  <c r="O264" i="31"/>
  <c r="P264" i="31" s="1"/>
  <c r="I190" i="32"/>
  <c r="O215" i="31"/>
  <c r="P215" i="31" s="1"/>
  <c r="I217" i="31"/>
  <c r="J217" i="31" s="1"/>
  <c r="I104" i="31"/>
  <c r="J104" i="31" s="1"/>
  <c r="L223" i="31"/>
  <c r="M223" i="31" s="1"/>
  <c r="I211" i="32"/>
  <c r="O53" i="31"/>
  <c r="P53" i="31" s="1"/>
  <c r="L73" i="31"/>
  <c r="M73" i="31" s="1"/>
  <c r="I218" i="31"/>
  <c r="J218" i="31" s="1"/>
  <c r="L40" i="31"/>
  <c r="M40" i="31" s="1"/>
  <c r="I28" i="31"/>
  <c r="J28" i="31" s="1"/>
  <c r="I63" i="31"/>
  <c r="J63" i="31" s="1"/>
  <c r="I14" i="32"/>
  <c r="G33" i="31"/>
  <c r="I55" i="31"/>
  <c r="J55" i="31" s="1"/>
  <c r="G124" i="31"/>
  <c r="I59" i="31"/>
  <c r="J59" i="31" s="1"/>
  <c r="I62" i="32"/>
  <c r="G25" i="31"/>
  <c r="L139" i="31"/>
  <c r="M139" i="31" s="1"/>
  <c r="I142" i="31"/>
  <c r="J142" i="31" s="1"/>
  <c r="I148" i="31"/>
  <c r="J148" i="31" s="1"/>
  <c r="I155" i="31"/>
  <c r="J155" i="31" s="1"/>
  <c r="I257" i="31"/>
  <c r="J257" i="31" s="1"/>
  <c r="G80" i="31"/>
  <c r="I200" i="31"/>
  <c r="J200" i="31" s="1"/>
  <c r="I262" i="31"/>
  <c r="J262" i="31" s="1"/>
  <c r="G202" i="31"/>
  <c r="I70" i="31"/>
  <c r="J70" i="31" s="1"/>
  <c r="I98" i="31"/>
  <c r="J98" i="31" s="1"/>
  <c r="I225" i="31"/>
  <c r="J225" i="31" s="1"/>
  <c r="L114" i="31"/>
  <c r="M114" i="31" s="1"/>
  <c r="I238" i="32"/>
  <c r="O181" i="31"/>
  <c r="P181" i="31" s="1"/>
  <c r="I247" i="32"/>
  <c r="O268" i="31"/>
  <c r="P268" i="31" s="1"/>
  <c r="G141" i="31"/>
  <c r="I37" i="31"/>
  <c r="J37" i="31" s="1"/>
  <c r="I243" i="31"/>
  <c r="J243" i="31" s="1"/>
  <c r="L190" i="31"/>
  <c r="M190" i="31" s="1"/>
  <c r="I125" i="31"/>
  <c r="J125" i="31" s="1"/>
  <c r="G129" i="31"/>
  <c r="E3" i="32"/>
  <c r="I32" i="31"/>
  <c r="J32" i="31" s="1"/>
  <c r="G42" i="31"/>
  <c r="I44" i="31"/>
  <c r="J44" i="31" s="1"/>
  <c r="I47" i="31"/>
  <c r="J47" i="31" s="1"/>
  <c r="I133" i="31"/>
  <c r="J133" i="31" s="1"/>
  <c r="G138" i="31"/>
  <c r="I152" i="31"/>
  <c r="J152" i="31" s="1"/>
  <c r="I160" i="31"/>
  <c r="J160" i="31" s="1"/>
  <c r="I90" i="31"/>
  <c r="J90" i="31" s="1"/>
  <c r="I91" i="31"/>
  <c r="J91" i="31" s="1"/>
  <c r="I183" i="32"/>
  <c r="I211" i="31"/>
  <c r="J211" i="31" s="1"/>
  <c r="I214" i="31"/>
  <c r="J214" i="31" s="1"/>
  <c r="L221" i="31"/>
  <c r="M221" i="31" s="1"/>
  <c r="I215" i="32"/>
  <c r="O113" i="31"/>
  <c r="P113" i="31" s="1"/>
  <c r="G266" i="31"/>
  <c r="I115" i="31"/>
  <c r="J115" i="31" s="1"/>
  <c r="I117" i="31"/>
  <c r="J117" i="31" s="1"/>
  <c r="I138" i="31"/>
  <c r="J138" i="31" s="1"/>
  <c r="I113" i="31"/>
  <c r="J113" i="31" s="1"/>
  <c r="I111" i="31"/>
  <c r="J111" i="31" s="1"/>
  <c r="I116" i="31"/>
  <c r="J116" i="31" s="1"/>
  <c r="I118" i="31"/>
  <c r="J118" i="31" s="1"/>
  <c r="I269" i="31"/>
  <c r="J269" i="31" s="1"/>
  <c r="I74" i="31"/>
  <c r="J74" i="31" s="1"/>
  <c r="I228" i="31"/>
  <c r="J228" i="31" s="1"/>
  <c r="I187" i="31"/>
  <c r="J187" i="31" s="1"/>
  <c r="I179" i="31"/>
  <c r="J179" i="31" s="1"/>
  <c r="Q49" i="31"/>
  <c r="Q242" i="31"/>
  <c r="Q178" i="31"/>
  <c r="Q258" i="31"/>
  <c r="Q210" i="31"/>
  <c r="Q184" i="31"/>
  <c r="Q53" i="31"/>
  <c r="Q108" i="31"/>
  <c r="Q241" i="31"/>
  <c r="Q229" i="31"/>
  <c r="Q247" i="31"/>
  <c r="Q167" i="31"/>
  <c r="T18" i="31"/>
  <c r="Q113" i="31" l="1"/>
  <c r="Q244" i="31"/>
  <c r="Q31" i="31"/>
  <c r="Q110" i="31"/>
  <c r="I30" i="32"/>
  <c r="I78" i="32"/>
  <c r="I149" i="32"/>
  <c r="Q124" i="31"/>
  <c r="P250" i="31"/>
  <c r="Q250" i="31"/>
  <c r="P185" i="31"/>
  <c r="Q185" i="31"/>
  <c r="Q191" i="31"/>
  <c r="Q84" i="31"/>
  <c r="Q80" i="31"/>
  <c r="I181" i="32"/>
  <c r="I126" i="32"/>
  <c r="I142" i="32"/>
  <c r="O119" i="31"/>
  <c r="Q92" i="31"/>
  <c r="O36" i="31"/>
  <c r="I29" i="32"/>
  <c r="M18" i="31"/>
  <c r="I85" i="32"/>
  <c r="I95" i="32"/>
  <c r="Q209" i="31"/>
  <c r="O204" i="31"/>
  <c r="I157" i="32"/>
  <c r="O101" i="31"/>
  <c r="I189" i="32"/>
  <c r="J18" i="31"/>
  <c r="O76" i="31"/>
  <c r="I93" i="32"/>
  <c r="F18" i="31"/>
  <c r="Q57" i="31"/>
  <c r="Q215" i="31"/>
  <c r="Q264" i="31"/>
  <c r="Q25" i="31"/>
  <c r="O197" i="31"/>
  <c r="I133" i="32"/>
  <c r="O163" i="31"/>
  <c r="I125" i="32"/>
  <c r="I223" i="32"/>
  <c r="O180" i="31"/>
  <c r="O234" i="31"/>
  <c r="P234" i="31" s="1"/>
  <c r="O140" i="31"/>
  <c r="I69" i="32"/>
  <c r="O136" i="31"/>
  <c r="I61" i="32"/>
  <c r="Q158" i="31"/>
  <c r="O218" i="31"/>
  <c r="O41" i="31"/>
  <c r="I13" i="32"/>
  <c r="Q141" i="31"/>
  <c r="O52" i="31"/>
  <c r="I175" i="32"/>
  <c r="I221" i="32"/>
  <c r="O73" i="31"/>
  <c r="I193" i="32"/>
  <c r="O217" i="31"/>
  <c r="I161" i="32"/>
  <c r="O205" i="31"/>
  <c r="I97" i="32"/>
  <c r="O64" i="31"/>
  <c r="I218" i="32"/>
  <c r="O227" i="31"/>
  <c r="I122" i="32"/>
  <c r="O260" i="31"/>
  <c r="I198" i="32"/>
  <c r="O219" i="31"/>
  <c r="I170" i="32"/>
  <c r="O95" i="31"/>
  <c r="I248" i="32"/>
  <c r="O186" i="31"/>
  <c r="I217" i="32"/>
  <c r="O111" i="31"/>
  <c r="I234" i="32"/>
  <c r="O115" i="31"/>
  <c r="I200" i="32"/>
  <c r="O221" i="31"/>
  <c r="I171" i="32"/>
  <c r="O207" i="31"/>
  <c r="I124" i="32"/>
  <c r="O162" i="31"/>
  <c r="I89" i="32"/>
  <c r="O152" i="31"/>
  <c r="I51" i="32"/>
  <c r="O60" i="31"/>
  <c r="I19" i="32"/>
  <c r="O34" i="31"/>
  <c r="I60" i="32"/>
  <c r="O190" i="31"/>
  <c r="I178" i="32"/>
  <c r="O98" i="31"/>
  <c r="I136" i="32"/>
  <c r="O200" i="31"/>
  <c r="I82" i="32"/>
  <c r="O148" i="31"/>
  <c r="I48" i="32"/>
  <c r="O59" i="31"/>
  <c r="I64" i="32"/>
  <c r="O63" i="31"/>
  <c r="I94" i="32"/>
  <c r="O249" i="31"/>
  <c r="I39" i="32"/>
  <c r="O37" i="31"/>
  <c r="I106" i="32"/>
  <c r="O251" i="31"/>
  <c r="O265" i="31"/>
  <c r="I197" i="32"/>
  <c r="I80" i="32"/>
  <c r="O147" i="31"/>
  <c r="O216" i="31"/>
  <c r="I191" i="32"/>
  <c r="I166" i="32"/>
  <c r="O172" i="31"/>
  <c r="O66" i="31"/>
  <c r="I127" i="32"/>
  <c r="I6" i="32"/>
  <c r="I8" i="32"/>
  <c r="O39" i="31"/>
  <c r="I44" i="32"/>
  <c r="O128" i="31"/>
  <c r="I180" i="32"/>
  <c r="O99" i="31"/>
  <c r="I116" i="32"/>
  <c r="O195" i="31"/>
  <c r="I139" i="32"/>
  <c r="O201" i="31"/>
  <c r="O206" i="31"/>
  <c r="I165" i="32"/>
  <c r="I162" i="32"/>
  <c r="O94" i="31"/>
  <c r="I56" i="32"/>
  <c r="O62" i="31"/>
  <c r="I9" i="32"/>
  <c r="O32" i="31"/>
  <c r="Q181" i="31"/>
  <c r="I253" i="32"/>
  <c r="O120" i="31"/>
  <c r="I239" i="32"/>
  <c r="O235" i="31"/>
  <c r="I245" i="32"/>
  <c r="O118" i="31"/>
  <c r="I86" i="32"/>
  <c r="O192" i="31"/>
  <c r="O259" i="31"/>
  <c r="I119" i="32"/>
  <c r="O150" i="31"/>
  <c r="I87" i="32"/>
  <c r="I154" i="32"/>
  <c r="O168" i="31"/>
  <c r="I112" i="32"/>
  <c r="O256" i="31"/>
  <c r="I42" i="32"/>
  <c r="O188" i="31"/>
  <c r="I187" i="32"/>
  <c r="O213" i="31"/>
  <c r="O68" i="31"/>
  <c r="I159" i="32"/>
  <c r="I123" i="32"/>
  <c r="O161" i="31"/>
  <c r="I73" i="32"/>
  <c r="O143" i="31"/>
  <c r="I43" i="32"/>
  <c r="O48" i="31"/>
  <c r="I11" i="32"/>
  <c r="O21" i="31"/>
  <c r="I152" i="32"/>
  <c r="O203" i="31"/>
  <c r="I120" i="32"/>
  <c r="O159" i="31"/>
  <c r="O132" i="31"/>
  <c r="I53" i="32"/>
  <c r="O20" i="31"/>
  <c r="I5" i="32"/>
  <c r="I225" i="32"/>
  <c r="O231" i="31"/>
  <c r="I148" i="32"/>
  <c r="O88" i="31"/>
  <c r="I81" i="32"/>
  <c r="O30" i="31"/>
  <c r="I160" i="32"/>
  <c r="O93" i="31"/>
  <c r="I254" i="32"/>
  <c r="O121" i="31"/>
  <c r="I57" i="32"/>
  <c r="O133" i="31"/>
  <c r="I52" i="32"/>
  <c r="O61" i="31"/>
  <c r="I96" i="32"/>
  <c r="O77" i="31"/>
  <c r="Q268" i="31"/>
  <c r="L18" i="31"/>
  <c r="I18" i="31"/>
  <c r="Q33" i="31"/>
  <c r="I250" i="32"/>
  <c r="O238" i="31"/>
  <c r="I229" i="32"/>
  <c r="O266" i="31"/>
  <c r="I242" i="32"/>
  <c r="O183" i="31"/>
  <c r="I252" i="32"/>
  <c r="O269" i="31"/>
  <c r="I188" i="32"/>
  <c r="O214" i="31"/>
  <c r="I156" i="32"/>
  <c r="O91" i="31"/>
  <c r="I121" i="32"/>
  <c r="O160" i="31"/>
  <c r="O29" i="31"/>
  <c r="I79" i="32"/>
  <c r="I41" i="32"/>
  <c r="O47" i="31"/>
  <c r="I50" i="32"/>
  <c r="O243" i="31"/>
  <c r="I168" i="32"/>
  <c r="O70" i="31"/>
  <c r="I72" i="32"/>
  <c r="O142" i="31"/>
  <c r="I18" i="32"/>
  <c r="O28" i="31"/>
  <c r="I151" i="32"/>
  <c r="O202" i="31"/>
  <c r="I83" i="32"/>
  <c r="O149" i="31"/>
  <c r="I7" i="32"/>
  <c r="O54" i="31"/>
  <c r="I216" i="32"/>
  <c r="O226" i="31"/>
  <c r="I155" i="32"/>
  <c r="O169" i="31"/>
  <c r="I47" i="32"/>
  <c r="O130" i="31"/>
  <c r="I230" i="32"/>
  <c r="O267" i="31"/>
  <c r="I34" i="32"/>
  <c r="O240" i="31"/>
  <c r="I206" i="32"/>
  <c r="O177" i="31"/>
  <c r="I177" i="32"/>
  <c r="O97" i="31"/>
  <c r="I113" i="32"/>
  <c r="O65" i="31"/>
  <c r="I129" i="32"/>
  <c r="O164" i="31"/>
  <c r="I20" i="32"/>
  <c r="O56" i="31"/>
  <c r="I169" i="32"/>
  <c r="O173" i="31"/>
  <c r="I134" i="32"/>
  <c r="O198" i="31"/>
  <c r="I91" i="32"/>
  <c r="O193" i="31"/>
  <c r="I88" i="32"/>
  <c r="O151" i="31"/>
  <c r="I228" i="32"/>
  <c r="O233" i="31"/>
  <c r="Q112" i="31"/>
  <c r="I244" i="32"/>
  <c r="O237" i="31"/>
  <c r="I249" i="32"/>
  <c r="O187" i="31"/>
  <c r="I118" i="32"/>
  <c r="O196" i="31"/>
  <c r="I75" i="32"/>
  <c r="O145" i="31"/>
  <c r="I35" i="32"/>
  <c r="O126" i="31"/>
  <c r="I208" i="32"/>
  <c r="O223" i="31"/>
  <c r="I147" i="32"/>
  <c r="O263" i="31"/>
  <c r="I65" i="32"/>
  <c r="O138" i="31"/>
  <c r="I144" i="32"/>
  <c r="O86" i="31"/>
  <c r="I102" i="32"/>
  <c r="I36" i="32"/>
  <c r="O127" i="31"/>
  <c r="I184" i="32"/>
  <c r="O100" i="31"/>
  <c r="I108" i="32"/>
  <c r="O252" i="31"/>
  <c r="O137" i="31"/>
  <c r="I63" i="32"/>
  <c r="I33" i="32"/>
  <c r="O58" i="31"/>
  <c r="I40" i="32"/>
  <c r="O46" i="31"/>
  <c r="O174" i="31"/>
  <c r="I173" i="32"/>
  <c r="O253" i="31"/>
  <c r="I109" i="32"/>
  <c r="O146" i="31"/>
  <c r="I77" i="32"/>
  <c r="I38" i="32"/>
  <c r="O220" i="31"/>
  <c r="I199" i="32"/>
  <c r="I174" i="32"/>
  <c r="O96" i="31"/>
  <c r="I145" i="32"/>
  <c r="O87" i="31"/>
  <c r="I110" i="32"/>
  <c r="O254" i="31"/>
  <c r="O38" i="31"/>
  <c r="I71" i="32"/>
  <c r="I202" i="32"/>
  <c r="O106" i="31"/>
  <c r="I138" i="32"/>
  <c r="O67" i="31"/>
  <c r="Q26" i="31"/>
  <c r="G26" i="31"/>
  <c r="G18" i="31" s="1"/>
  <c r="I130" i="32"/>
  <c r="O51" i="31"/>
  <c r="I84" i="32"/>
  <c r="O248" i="31"/>
  <c r="I241" i="32"/>
  <c r="O182" i="31"/>
  <c r="I226" i="32"/>
  <c r="O74" i="31"/>
  <c r="I236" i="32"/>
  <c r="O116" i="31"/>
  <c r="I185" i="32"/>
  <c r="O211" i="31"/>
  <c r="I153" i="32"/>
  <c r="O90" i="31"/>
  <c r="O255" i="31"/>
  <c r="I111" i="32"/>
  <c r="I46" i="32"/>
  <c r="I232" i="32"/>
  <c r="O114" i="31"/>
  <c r="I114" i="32"/>
  <c r="O257" i="31"/>
  <c r="I68" i="32"/>
  <c r="O139" i="31"/>
  <c r="I16" i="32"/>
  <c r="O55" i="31"/>
  <c r="I12" i="32"/>
  <c r="O40" i="31"/>
  <c r="O230" i="31"/>
  <c r="I224" i="32"/>
  <c r="I186" i="32"/>
  <c r="O212" i="31"/>
  <c r="O154" i="31"/>
  <c r="I101" i="32"/>
  <c r="I227" i="32"/>
  <c r="O232" i="31"/>
  <c r="I204" i="32"/>
  <c r="O107" i="31"/>
  <c r="I140" i="32"/>
  <c r="O82" i="31"/>
  <c r="I59" i="32"/>
  <c r="O135" i="31"/>
  <c r="I27" i="32"/>
  <c r="O239" i="31"/>
  <c r="O24" i="31"/>
  <c r="I37" i="32"/>
  <c r="I31" i="32"/>
  <c r="O45" i="31"/>
  <c r="I28" i="32"/>
  <c r="O35" i="31"/>
  <c r="I195" i="32"/>
  <c r="O103" i="31"/>
  <c r="O69" i="31"/>
  <c r="I167" i="32"/>
  <c r="O79" i="31"/>
  <c r="I103" i="32"/>
  <c r="I67" i="32"/>
  <c r="O246" i="31"/>
  <c r="I212" i="32"/>
  <c r="O72" i="31"/>
  <c r="I233" i="32"/>
  <c r="O179" i="31"/>
  <c r="I214" i="32"/>
  <c r="O109" i="31"/>
  <c r="I150" i="32"/>
  <c r="O89" i="31"/>
  <c r="I107" i="32"/>
  <c r="O157" i="31"/>
  <c r="I25" i="32"/>
  <c r="O44" i="31"/>
  <c r="I196" i="32"/>
  <c r="O104" i="31"/>
  <c r="I164" i="32"/>
  <c r="O171" i="31"/>
  <c r="I132" i="32"/>
  <c r="O165" i="31"/>
  <c r="I100" i="32"/>
  <c r="O153" i="31"/>
  <c r="I23" i="32"/>
  <c r="O42" i="31"/>
  <c r="I10" i="32"/>
  <c r="O27" i="31"/>
  <c r="I58" i="32"/>
  <c r="O134" i="31"/>
  <c r="I26" i="32"/>
  <c r="O23" i="31"/>
  <c r="I172" i="32"/>
  <c r="O71" i="31"/>
  <c r="I105" i="32"/>
  <c r="O156" i="31"/>
  <c r="O176" i="31"/>
  <c r="I205" i="32"/>
  <c r="O83" i="31"/>
  <c r="I141" i="32"/>
  <c r="I98" i="32"/>
  <c r="O50" i="31"/>
  <c r="I66" i="32"/>
  <c r="O245" i="31"/>
  <c r="I24" i="32"/>
  <c r="O43" i="31"/>
  <c r="I163" i="32"/>
  <c r="O170" i="31"/>
  <c r="O199" i="31"/>
  <c r="I135" i="32"/>
  <c r="I99" i="32"/>
  <c r="O78" i="31"/>
  <c r="I240" i="32"/>
  <c r="O236" i="31"/>
  <c r="I128" i="32"/>
  <c r="O261" i="31"/>
  <c r="Q129" i="31"/>
  <c r="I209" i="32"/>
  <c r="O224" i="31"/>
  <c r="I220" i="32"/>
  <c r="O228" i="31"/>
  <c r="I237" i="32"/>
  <c r="O117" i="31"/>
  <c r="I203" i="32"/>
  <c r="O222" i="31"/>
  <c r="I182" i="32"/>
  <c r="O175" i="31"/>
  <c r="O85" i="31"/>
  <c r="I143" i="32"/>
  <c r="I92" i="32"/>
  <c r="O194" i="31"/>
  <c r="I32" i="32"/>
  <c r="O125" i="31"/>
  <c r="I210" i="32"/>
  <c r="O225" i="31"/>
  <c r="I146" i="32"/>
  <c r="O262" i="31"/>
  <c r="I104" i="32"/>
  <c r="O155" i="31"/>
  <c r="I55" i="32"/>
  <c r="O189" i="31"/>
  <c r="I176" i="32"/>
  <c r="O208" i="31"/>
  <c r="I90" i="32"/>
  <c r="O75" i="31"/>
  <c r="I201" i="32"/>
  <c r="O105" i="31"/>
  <c r="I137" i="32"/>
  <c r="O166" i="31"/>
  <c r="I49" i="32"/>
  <c r="O131" i="31"/>
  <c r="I17" i="32"/>
  <c r="O22" i="31"/>
  <c r="I22" i="32"/>
  <c r="O123" i="31"/>
  <c r="I21" i="32"/>
  <c r="I15" i="32"/>
  <c r="O122" i="31"/>
  <c r="I192" i="32"/>
  <c r="O102" i="31"/>
  <c r="I131" i="32"/>
  <c r="O81" i="31"/>
  <c r="I74" i="32"/>
  <c r="O144" i="31"/>
  <c r="G3" i="32"/>
  <c r="I3" i="32" s="1"/>
  <c r="Q234" i="31" l="1"/>
  <c r="P36" i="31"/>
  <c r="Q36" i="31"/>
  <c r="P119" i="31"/>
  <c r="Q119" i="31"/>
  <c r="P163" i="31"/>
  <c r="Q163" i="31"/>
  <c r="I1" i="32" a="1"/>
  <c r="I1" i="32" s="1"/>
  <c r="P136" i="31"/>
  <c r="Q136" i="31"/>
  <c r="P76" i="31"/>
  <c r="Q76" i="31"/>
  <c r="P197" i="31"/>
  <c r="Q197" i="31"/>
  <c r="P140" i="31"/>
  <c r="Q140" i="31"/>
  <c r="P101" i="31"/>
  <c r="Q101" i="31"/>
  <c r="P41" i="31"/>
  <c r="Q41" i="31"/>
  <c r="P180" i="31"/>
  <c r="Q180" i="31"/>
  <c r="P218" i="31"/>
  <c r="Q218" i="31"/>
  <c r="P204" i="31"/>
  <c r="Q204" i="31"/>
  <c r="P165" i="31"/>
  <c r="Q165" i="31"/>
  <c r="P232" i="31"/>
  <c r="Q232" i="31"/>
  <c r="P198" i="31"/>
  <c r="Q198" i="31"/>
  <c r="P54" i="31"/>
  <c r="Q54" i="31"/>
  <c r="P81" i="31"/>
  <c r="Q81" i="31"/>
  <c r="P157" i="31"/>
  <c r="Q157" i="31"/>
  <c r="P114" i="31"/>
  <c r="Q114" i="31"/>
  <c r="P267" i="31"/>
  <c r="Q267" i="31"/>
  <c r="P133" i="31"/>
  <c r="Q133" i="31"/>
  <c r="P159" i="31"/>
  <c r="Q159" i="31"/>
  <c r="P150" i="31"/>
  <c r="Q150" i="31"/>
  <c r="P99" i="31"/>
  <c r="Q99" i="31"/>
  <c r="P66" i="31"/>
  <c r="Q66" i="31"/>
  <c r="P265" i="31"/>
  <c r="Q265" i="31"/>
  <c r="P22" i="31"/>
  <c r="Q22" i="31"/>
  <c r="P75" i="31"/>
  <c r="Q75" i="31"/>
  <c r="P262" i="31"/>
  <c r="Q262" i="31"/>
  <c r="P228" i="31"/>
  <c r="Q228" i="31"/>
  <c r="P176" i="31"/>
  <c r="Q176" i="31"/>
  <c r="P116" i="31"/>
  <c r="Q116" i="31"/>
  <c r="P51" i="31"/>
  <c r="Q51" i="31"/>
  <c r="P174" i="31"/>
  <c r="Q174" i="31"/>
  <c r="P138" i="31"/>
  <c r="Q138" i="31"/>
  <c r="P145" i="31"/>
  <c r="Q145" i="31"/>
  <c r="P29" i="31"/>
  <c r="Q29" i="31"/>
  <c r="P143" i="31"/>
  <c r="Q143" i="31"/>
  <c r="P188" i="31"/>
  <c r="Q188" i="31"/>
  <c r="P120" i="31"/>
  <c r="Q120" i="31"/>
  <c r="P172" i="31"/>
  <c r="Q172" i="31"/>
  <c r="P251" i="31"/>
  <c r="Q251" i="31"/>
  <c r="P59" i="31"/>
  <c r="Q59" i="31"/>
  <c r="P190" i="31"/>
  <c r="Q190" i="31"/>
  <c r="P162" i="31"/>
  <c r="Q162" i="31"/>
  <c r="P111" i="31"/>
  <c r="Q111" i="31"/>
  <c r="P260" i="31"/>
  <c r="Q260" i="31"/>
  <c r="P217" i="31"/>
  <c r="Q217" i="31"/>
  <c r="P236" i="31"/>
  <c r="Q236" i="31"/>
  <c r="P72" i="31"/>
  <c r="Q72" i="31"/>
  <c r="P239" i="31"/>
  <c r="Q239" i="31"/>
  <c r="P40" i="31"/>
  <c r="Q40" i="31"/>
  <c r="P269" i="31"/>
  <c r="Q269" i="31"/>
  <c r="P88" i="31"/>
  <c r="Q88" i="31"/>
  <c r="P102" i="31"/>
  <c r="Q102" i="31"/>
  <c r="P85" i="31"/>
  <c r="Q85" i="31"/>
  <c r="P78" i="31"/>
  <c r="Q78" i="31"/>
  <c r="P245" i="31"/>
  <c r="Q245" i="31"/>
  <c r="P156" i="31"/>
  <c r="Q156" i="31"/>
  <c r="P27" i="31"/>
  <c r="Q27" i="31"/>
  <c r="P171" i="31"/>
  <c r="Q171" i="31"/>
  <c r="P89" i="31"/>
  <c r="Q89" i="31"/>
  <c r="P246" i="31"/>
  <c r="Q246" i="31"/>
  <c r="P35" i="31"/>
  <c r="Q35" i="31"/>
  <c r="P135" i="31"/>
  <c r="Q135" i="31"/>
  <c r="P55" i="31"/>
  <c r="Q55" i="31"/>
  <c r="P38" i="31"/>
  <c r="Q38" i="31"/>
  <c r="P220" i="31"/>
  <c r="Q220" i="31"/>
  <c r="P46" i="31"/>
  <c r="Q46" i="31"/>
  <c r="P100" i="31"/>
  <c r="Q100" i="31"/>
  <c r="P233" i="31"/>
  <c r="Q233" i="31"/>
  <c r="P173" i="31"/>
  <c r="Q173" i="31"/>
  <c r="P97" i="31"/>
  <c r="Q97" i="31"/>
  <c r="P130" i="31"/>
  <c r="Q130" i="31"/>
  <c r="P149" i="31"/>
  <c r="Q149" i="31"/>
  <c r="P70" i="31"/>
  <c r="Q70" i="31"/>
  <c r="P160" i="31"/>
  <c r="Q160" i="31"/>
  <c r="P183" i="31"/>
  <c r="Q183" i="31"/>
  <c r="P121" i="31"/>
  <c r="Q121" i="31"/>
  <c r="P231" i="31"/>
  <c r="Q231" i="31"/>
  <c r="P203" i="31"/>
  <c r="Q203" i="31"/>
  <c r="P259" i="31"/>
  <c r="Q259" i="31"/>
  <c r="P128" i="31"/>
  <c r="Q128" i="31"/>
  <c r="P43" i="31"/>
  <c r="Q43" i="31"/>
  <c r="P134" i="31"/>
  <c r="Q134" i="31"/>
  <c r="P103" i="31"/>
  <c r="Q103" i="31"/>
  <c r="P252" i="31"/>
  <c r="Q252" i="31"/>
  <c r="P65" i="31"/>
  <c r="Q65" i="31"/>
  <c r="P142" i="31"/>
  <c r="Q142" i="31"/>
  <c r="P94" i="31"/>
  <c r="Q94" i="31"/>
  <c r="P131" i="31"/>
  <c r="Q131" i="31"/>
  <c r="P208" i="31"/>
  <c r="Q208" i="31"/>
  <c r="P225" i="31"/>
  <c r="Q225" i="31"/>
  <c r="P175" i="31"/>
  <c r="Q175" i="31"/>
  <c r="P224" i="31"/>
  <c r="Q224" i="31"/>
  <c r="P154" i="31"/>
  <c r="Q154" i="31"/>
  <c r="P74" i="31"/>
  <c r="Q74" i="31"/>
  <c r="P254" i="31"/>
  <c r="Q254" i="31"/>
  <c r="P263" i="31"/>
  <c r="Q263" i="31"/>
  <c r="P196" i="31"/>
  <c r="Q196" i="31"/>
  <c r="P161" i="31"/>
  <c r="Q161" i="31"/>
  <c r="P256" i="31"/>
  <c r="Q256" i="31"/>
  <c r="P192" i="31"/>
  <c r="Q192" i="31"/>
  <c r="P206" i="31"/>
  <c r="Q206" i="31"/>
  <c r="P37" i="31"/>
  <c r="Q37" i="31"/>
  <c r="P148" i="31"/>
  <c r="Q148" i="31"/>
  <c r="P34" i="31"/>
  <c r="Q34" i="31"/>
  <c r="P207" i="31"/>
  <c r="Q207" i="31"/>
  <c r="P186" i="31"/>
  <c r="Q186" i="31"/>
  <c r="P227" i="31"/>
  <c r="Q227" i="31"/>
  <c r="P73" i="31"/>
  <c r="Q73" i="31"/>
  <c r="P122" i="31"/>
  <c r="Q122" i="31"/>
  <c r="P50" i="31"/>
  <c r="Q50" i="31"/>
  <c r="P71" i="31"/>
  <c r="Q71" i="31"/>
  <c r="P42" i="31"/>
  <c r="Q42" i="31"/>
  <c r="P104" i="31"/>
  <c r="Q104" i="31"/>
  <c r="P109" i="31"/>
  <c r="Q109" i="31"/>
  <c r="P45" i="31"/>
  <c r="Q45" i="31"/>
  <c r="P82" i="31"/>
  <c r="Q82" i="31"/>
  <c r="P212" i="31"/>
  <c r="Q212" i="31"/>
  <c r="P139" i="31"/>
  <c r="Q139" i="31"/>
  <c r="P255" i="31"/>
  <c r="Q255" i="31"/>
  <c r="P58" i="31"/>
  <c r="Q58" i="31"/>
  <c r="P127" i="31"/>
  <c r="Q127" i="31"/>
  <c r="P151" i="31"/>
  <c r="Q151" i="31"/>
  <c r="P56" i="31"/>
  <c r="Q56" i="31"/>
  <c r="P177" i="31"/>
  <c r="Q177" i="31"/>
  <c r="P169" i="31"/>
  <c r="Q169" i="31"/>
  <c r="P202" i="31"/>
  <c r="Q202" i="31"/>
  <c r="P243" i="31"/>
  <c r="Q243" i="31"/>
  <c r="P91" i="31"/>
  <c r="Q91" i="31"/>
  <c r="P266" i="31"/>
  <c r="Q266" i="31"/>
  <c r="P77" i="31"/>
  <c r="Q77" i="31"/>
  <c r="P93" i="31"/>
  <c r="Q93" i="31"/>
  <c r="P32" i="31"/>
  <c r="Q32" i="31"/>
  <c r="P201" i="31"/>
  <c r="Q201" i="31"/>
  <c r="P39" i="31"/>
  <c r="Q39" i="31"/>
  <c r="P216" i="31"/>
  <c r="Q216" i="31"/>
  <c r="I2" i="32" a="1"/>
  <c r="I2" i="32" s="1"/>
  <c r="P147" i="31"/>
  <c r="Q147" i="31"/>
  <c r="P249" i="31"/>
  <c r="Q249" i="31"/>
  <c r="P200" i="31"/>
  <c r="Q200" i="31"/>
  <c r="P60" i="31"/>
  <c r="Q60" i="31"/>
  <c r="P221" i="31"/>
  <c r="Q221" i="31"/>
  <c r="P95" i="31"/>
  <c r="Q95" i="31"/>
  <c r="P64" i="31"/>
  <c r="Q64" i="31"/>
  <c r="P166" i="31"/>
  <c r="Q166" i="31"/>
  <c r="P222" i="31"/>
  <c r="Q222" i="31"/>
  <c r="P79" i="31"/>
  <c r="Q79" i="31"/>
  <c r="P90" i="31"/>
  <c r="Q90" i="31"/>
  <c r="P67" i="31"/>
  <c r="Q67" i="31"/>
  <c r="P146" i="31"/>
  <c r="Q146" i="31"/>
  <c r="P187" i="31"/>
  <c r="Q187" i="31"/>
  <c r="P20" i="31"/>
  <c r="O18" i="31"/>
  <c r="R223" i="31" s="1"/>
  <c r="Q20" i="31"/>
  <c r="P21" i="31"/>
  <c r="Q21" i="31"/>
  <c r="P168" i="31"/>
  <c r="Q168" i="31"/>
  <c r="P118" i="31"/>
  <c r="Q118" i="31"/>
  <c r="R102" i="31"/>
  <c r="R267" i="31"/>
  <c r="P144" i="31"/>
  <c r="Q144" i="31"/>
  <c r="P261" i="31"/>
  <c r="Q261" i="31"/>
  <c r="P170" i="31"/>
  <c r="Q170" i="31"/>
  <c r="P23" i="31"/>
  <c r="Q23" i="31"/>
  <c r="P153" i="31"/>
  <c r="Q153" i="31"/>
  <c r="P44" i="31"/>
  <c r="Q44" i="31"/>
  <c r="P179" i="31"/>
  <c r="Q179" i="31"/>
  <c r="P107" i="31"/>
  <c r="Q107" i="31"/>
  <c r="P257" i="31"/>
  <c r="Q257" i="31"/>
  <c r="P193" i="31"/>
  <c r="Q193" i="31"/>
  <c r="P164" i="31"/>
  <c r="Q164" i="31"/>
  <c r="P240" i="31"/>
  <c r="Q240" i="31"/>
  <c r="P226" i="31"/>
  <c r="Q226" i="31"/>
  <c r="P28" i="31"/>
  <c r="Q28" i="31"/>
  <c r="P47" i="31"/>
  <c r="Q47" i="31"/>
  <c r="P214" i="31"/>
  <c r="Q214" i="31"/>
  <c r="P238" i="31"/>
  <c r="Q238" i="31"/>
  <c r="P61" i="31"/>
  <c r="Q61" i="31"/>
  <c r="P30" i="31"/>
  <c r="Q30" i="31"/>
  <c r="P68" i="31"/>
  <c r="Q68" i="31"/>
  <c r="P62" i="31"/>
  <c r="Q62" i="31"/>
  <c r="P195" i="31"/>
  <c r="Q195" i="31"/>
  <c r="P52" i="31"/>
  <c r="Q52" i="31"/>
  <c r="P189" i="31"/>
  <c r="Q189" i="31"/>
  <c r="P125" i="31"/>
  <c r="Q125" i="31"/>
  <c r="P199" i="31"/>
  <c r="Q199" i="31"/>
  <c r="P182" i="31"/>
  <c r="Q182" i="31"/>
  <c r="P87" i="31"/>
  <c r="Q87" i="31"/>
  <c r="P223" i="31"/>
  <c r="Q223" i="31"/>
  <c r="P123" i="31"/>
  <c r="Q123" i="31"/>
  <c r="P105" i="31"/>
  <c r="Q105" i="31"/>
  <c r="P155" i="31"/>
  <c r="Q155" i="31"/>
  <c r="P194" i="31"/>
  <c r="Q194" i="31"/>
  <c r="P117" i="31"/>
  <c r="Q117" i="31"/>
  <c r="P83" i="31"/>
  <c r="Q83" i="31"/>
  <c r="P69" i="31"/>
  <c r="Q69" i="31"/>
  <c r="P24" i="31"/>
  <c r="Q24" i="31"/>
  <c r="P230" i="31"/>
  <c r="Q230" i="31"/>
  <c r="P211" i="31"/>
  <c r="Q211" i="31"/>
  <c r="P248" i="31"/>
  <c r="Q248" i="31"/>
  <c r="P106" i="31"/>
  <c r="Q106" i="31"/>
  <c r="P96" i="31"/>
  <c r="Q96" i="31"/>
  <c r="P253" i="31"/>
  <c r="Q253" i="31"/>
  <c r="P137" i="31"/>
  <c r="Q137" i="31"/>
  <c r="P86" i="31"/>
  <c r="Q86" i="31"/>
  <c r="P126" i="31"/>
  <c r="Q126" i="31"/>
  <c r="P237" i="31"/>
  <c r="Q237" i="31"/>
  <c r="P132" i="31"/>
  <c r="Q132" i="31"/>
  <c r="P48" i="31"/>
  <c r="Q48" i="31"/>
  <c r="P213" i="31"/>
  <c r="Q213" i="31"/>
  <c r="P235" i="31"/>
  <c r="Q235" i="31"/>
  <c r="P63" i="31"/>
  <c r="Q63" i="31"/>
  <c r="P98" i="31"/>
  <c r="Q98" i="31"/>
  <c r="P152" i="31"/>
  <c r="Q152" i="31"/>
  <c r="P115" i="31"/>
  <c r="Q115" i="31"/>
  <c r="P219" i="31"/>
  <c r="Q219" i="31"/>
  <c r="P205" i="31"/>
  <c r="Q205" i="31"/>
  <c r="N269" i="31"/>
  <c r="N268" i="31"/>
  <c r="N267" i="31"/>
  <c r="N266" i="31"/>
  <c r="N265" i="31"/>
  <c r="N264" i="31"/>
  <c r="N263" i="31"/>
  <c r="N262" i="31"/>
  <c r="N261" i="31"/>
  <c r="N260" i="31"/>
  <c r="N259" i="31"/>
  <c r="N258" i="31"/>
  <c r="N257" i="31"/>
  <c r="N256" i="31"/>
  <c r="N255" i="31"/>
  <c r="N254" i="31"/>
  <c r="N253" i="31"/>
  <c r="N252" i="31"/>
  <c r="N251" i="31"/>
  <c r="N250" i="31"/>
  <c r="N249" i="31"/>
  <c r="N248" i="31"/>
  <c r="N247" i="31"/>
  <c r="N246" i="31"/>
  <c r="N245" i="31"/>
  <c r="N244" i="31"/>
  <c r="N243" i="31"/>
  <c r="N242" i="31"/>
  <c r="N241" i="31"/>
  <c r="N240" i="31"/>
  <c r="N239" i="31"/>
  <c r="N238" i="31"/>
  <c r="N237" i="31"/>
  <c r="N236" i="31"/>
  <c r="N235" i="31"/>
  <c r="N234" i="31"/>
  <c r="N233" i="31"/>
  <c r="N232" i="31"/>
  <c r="N231" i="31"/>
  <c r="N230" i="31"/>
  <c r="N229" i="31"/>
  <c r="N228" i="31"/>
  <c r="N227" i="31"/>
  <c r="N226" i="31"/>
  <c r="N225" i="31"/>
  <c r="N224" i="31"/>
  <c r="N223" i="31"/>
  <c r="N222" i="31"/>
  <c r="N221" i="31"/>
  <c r="N220" i="31"/>
  <c r="N219" i="31"/>
  <c r="N218" i="31"/>
  <c r="N217" i="31"/>
  <c r="N216" i="31"/>
  <c r="N215" i="31"/>
  <c r="N214" i="31"/>
  <c r="N213" i="31"/>
  <c r="N212" i="31"/>
  <c r="N211" i="31"/>
  <c r="N210" i="31"/>
  <c r="N209" i="31"/>
  <c r="N208" i="31"/>
  <c r="N207" i="31"/>
  <c r="N206" i="31"/>
  <c r="N205" i="31"/>
  <c r="N204" i="31"/>
  <c r="N203" i="31"/>
  <c r="N202" i="31"/>
  <c r="N201" i="31"/>
  <c r="N200" i="31"/>
  <c r="N199" i="31"/>
  <c r="N198" i="31"/>
  <c r="N197" i="31"/>
  <c r="N196" i="31"/>
  <c r="N195" i="31"/>
  <c r="N194" i="31"/>
  <c r="N193" i="31"/>
  <c r="N192" i="31"/>
  <c r="N191" i="31"/>
  <c r="N190" i="31"/>
  <c r="N189" i="31"/>
  <c r="N188" i="31"/>
  <c r="N187" i="31"/>
  <c r="N186" i="31"/>
  <c r="N185" i="31"/>
  <c r="N184" i="31"/>
  <c r="N183" i="31"/>
  <c r="N182" i="31"/>
  <c r="N181" i="31"/>
  <c r="N180" i="31"/>
  <c r="N179" i="31"/>
  <c r="N178" i="31"/>
  <c r="N177" i="31"/>
  <c r="N176" i="31"/>
  <c r="N175" i="31"/>
  <c r="N174" i="31"/>
  <c r="N173" i="31"/>
  <c r="N172" i="31"/>
  <c r="N171" i="31"/>
  <c r="N170" i="31"/>
  <c r="N169" i="31"/>
  <c r="N168" i="31"/>
  <c r="N167" i="31"/>
  <c r="N166" i="31"/>
  <c r="N165" i="31"/>
  <c r="N164" i="31"/>
  <c r="N163" i="31"/>
  <c r="N162" i="31"/>
  <c r="N161" i="31"/>
  <c r="N160" i="31"/>
  <c r="N159" i="31"/>
  <c r="N158" i="31"/>
  <c r="N157" i="31"/>
  <c r="N156" i="31"/>
  <c r="N155" i="31"/>
  <c r="N154" i="31"/>
  <c r="N153" i="31"/>
  <c r="N152" i="31"/>
  <c r="N151" i="31"/>
  <c r="N150" i="31"/>
  <c r="N149" i="31"/>
  <c r="N148" i="31"/>
  <c r="N147" i="31"/>
  <c r="N146" i="31"/>
  <c r="N145" i="31"/>
  <c r="N144" i="31"/>
  <c r="N143" i="31"/>
  <c r="N142" i="31"/>
  <c r="N141" i="31"/>
  <c r="N140" i="31"/>
  <c r="N139" i="31"/>
  <c r="N138" i="31"/>
  <c r="N137" i="31"/>
  <c r="N136" i="31"/>
  <c r="N135" i="31"/>
  <c r="N134" i="31"/>
  <c r="N133" i="31"/>
  <c r="N132" i="31"/>
  <c r="N131" i="31"/>
  <c r="N130" i="31"/>
  <c r="N129" i="31"/>
  <c r="N128" i="31"/>
  <c r="N127" i="31"/>
  <c r="N126" i="31"/>
  <c r="N125" i="31"/>
  <c r="N124" i="31"/>
  <c r="N123" i="31"/>
  <c r="N122" i="31"/>
  <c r="N121" i="31"/>
  <c r="N120" i="31"/>
  <c r="N119" i="31"/>
  <c r="N118" i="31"/>
  <c r="N117" i="31"/>
  <c r="N116" i="31"/>
  <c r="N115" i="31"/>
  <c r="N114" i="31"/>
  <c r="N113" i="31"/>
  <c r="N112" i="31"/>
  <c r="N111" i="31"/>
  <c r="N110" i="31"/>
  <c r="N109" i="31"/>
  <c r="N108" i="31"/>
  <c r="N107" i="31"/>
  <c r="N106" i="31"/>
  <c r="N105" i="31"/>
  <c r="N104" i="31"/>
  <c r="N103" i="31"/>
  <c r="N102" i="31"/>
  <c r="N101" i="31"/>
  <c r="N100" i="31"/>
  <c r="N99" i="31"/>
  <c r="N98" i="31"/>
  <c r="N97" i="31"/>
  <c r="N96" i="31"/>
  <c r="N95" i="31"/>
  <c r="N94" i="31"/>
  <c r="N93" i="31"/>
  <c r="N92" i="31"/>
  <c r="N91" i="31"/>
  <c r="N90" i="31"/>
  <c r="N89" i="31"/>
  <c r="N88" i="31"/>
  <c r="N87" i="31"/>
  <c r="N86" i="31"/>
  <c r="N85" i="31"/>
  <c r="N84" i="31"/>
  <c r="N83" i="31"/>
  <c r="N82" i="31"/>
  <c r="N81" i="31"/>
  <c r="N80" i="31"/>
  <c r="N79" i="31"/>
  <c r="N78" i="31"/>
  <c r="N77" i="31"/>
  <c r="N76" i="31"/>
  <c r="N75" i="31"/>
  <c r="N74" i="31"/>
  <c r="N73" i="31"/>
  <c r="N72" i="31"/>
  <c r="N71" i="31"/>
  <c r="N70" i="31"/>
  <c r="N69" i="31"/>
  <c r="N68" i="31"/>
  <c r="N67" i="31"/>
  <c r="N66" i="31"/>
  <c r="N65" i="31"/>
  <c r="N64" i="31"/>
  <c r="N63" i="31"/>
  <c r="N62" i="31"/>
  <c r="N61" i="31"/>
  <c r="N60" i="31"/>
  <c r="N59" i="31"/>
  <c r="N58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K18" i="31"/>
  <c r="H18" i="31"/>
  <c r="E18" i="31"/>
  <c r="I13" i="30"/>
  <c r="H11" i="30"/>
  <c r="I11" i="30" s="1"/>
  <c r="G11" i="30"/>
  <c r="F11" i="30"/>
  <c r="E11" i="30"/>
  <c r="E8" i="30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48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M162" i="18"/>
  <c r="M163" i="18"/>
  <c r="M164" i="18"/>
  <c r="M165" i="18"/>
  <c r="M166" i="18"/>
  <c r="M167" i="18"/>
  <c r="M168" i="18"/>
  <c r="M169" i="18"/>
  <c r="M170" i="18"/>
  <c r="M171" i="18"/>
  <c r="M172" i="18"/>
  <c r="M173" i="18"/>
  <c r="M174" i="18"/>
  <c r="M175" i="18"/>
  <c r="M176" i="18"/>
  <c r="M177" i="18"/>
  <c r="M178" i="18"/>
  <c r="M179" i="18"/>
  <c r="M180" i="18"/>
  <c r="M181" i="18"/>
  <c r="M182" i="18"/>
  <c r="M183" i="18"/>
  <c r="M184" i="18"/>
  <c r="M185" i="18"/>
  <c r="M186" i="18"/>
  <c r="M187" i="18"/>
  <c r="M188" i="18"/>
  <c r="M189" i="18"/>
  <c r="M190" i="18"/>
  <c r="M191" i="18"/>
  <c r="M192" i="18"/>
  <c r="M193" i="18"/>
  <c r="M194" i="18"/>
  <c r="M195" i="18"/>
  <c r="M196" i="18"/>
  <c r="M197" i="18"/>
  <c r="M198" i="18"/>
  <c r="M199" i="18"/>
  <c r="M200" i="18"/>
  <c r="M201" i="18"/>
  <c r="M202" i="18"/>
  <c r="M203" i="18"/>
  <c r="M204" i="18"/>
  <c r="M205" i="18"/>
  <c r="M206" i="18"/>
  <c r="M207" i="18"/>
  <c r="M208" i="18"/>
  <c r="M209" i="18"/>
  <c r="M210" i="18"/>
  <c r="M211" i="18"/>
  <c r="M212" i="18"/>
  <c r="M213" i="18"/>
  <c r="M214" i="18"/>
  <c r="M215" i="18"/>
  <c r="M216" i="18"/>
  <c r="M217" i="18"/>
  <c r="M218" i="18"/>
  <c r="M219" i="18"/>
  <c r="M220" i="18"/>
  <c r="M221" i="18"/>
  <c r="M222" i="18"/>
  <c r="M223" i="18"/>
  <c r="M224" i="18"/>
  <c r="M225" i="18"/>
  <c r="M226" i="18"/>
  <c r="M227" i="18"/>
  <c r="M228" i="18"/>
  <c r="M229" i="18"/>
  <c r="M230" i="18"/>
  <c r="M231" i="18"/>
  <c r="M232" i="18"/>
  <c r="M233" i="18"/>
  <c r="M234" i="18"/>
  <c r="M235" i="18"/>
  <c r="M236" i="18"/>
  <c r="M237" i="18"/>
  <c r="M238" i="18"/>
  <c r="M239" i="18"/>
  <c r="M240" i="18"/>
  <c r="M241" i="18"/>
  <c r="M242" i="18"/>
  <c r="M243" i="18"/>
  <c r="M244" i="18"/>
  <c r="M245" i="18"/>
  <c r="M246" i="18"/>
  <c r="M247" i="18"/>
  <c r="M248" i="18"/>
  <c r="M249" i="18"/>
  <c r="M250" i="18"/>
  <c r="M251" i="18"/>
  <c r="M252" i="18"/>
  <c r="M253" i="18"/>
  <c r="M254" i="18"/>
  <c r="M255" i="18"/>
  <c r="M256" i="18"/>
  <c r="M257" i="18"/>
  <c r="M258" i="18"/>
  <c r="M259" i="18"/>
  <c r="M260" i="18"/>
  <c r="M261" i="18"/>
  <c r="M262" i="18"/>
  <c r="M263" i="18"/>
  <c r="M264" i="18"/>
  <c r="M265" i="18"/>
  <c r="M266" i="18"/>
  <c r="M267" i="18"/>
  <c r="M268" i="18"/>
  <c r="M269" i="18"/>
  <c r="M270" i="18"/>
  <c r="M271" i="18"/>
  <c r="M272" i="18"/>
  <c r="M273" i="18"/>
  <c r="M274" i="18"/>
  <c r="M275" i="18"/>
  <c r="M276" i="18"/>
  <c r="M277" i="18"/>
  <c r="M278" i="18"/>
  <c r="R27" i="31" l="1"/>
  <c r="R85" i="31"/>
  <c r="R67" i="31"/>
  <c r="R142" i="31"/>
  <c r="R166" i="31"/>
  <c r="R20" i="31"/>
  <c r="R157" i="31"/>
  <c r="R114" i="31"/>
  <c r="U114" i="31" s="1"/>
  <c r="O105" i="30" s="1"/>
  <c r="R103" i="31"/>
  <c r="U103" i="31" s="1"/>
  <c r="O97" i="30" s="1"/>
  <c r="R146" i="31"/>
  <c r="U146" i="31" s="1"/>
  <c r="O136" i="30" s="1"/>
  <c r="R165" i="31"/>
  <c r="R65" i="31"/>
  <c r="R236" i="31"/>
  <c r="R43" i="31"/>
  <c r="R133" i="31"/>
  <c r="R134" i="31"/>
  <c r="U134" i="31" s="1"/>
  <c r="O124" i="30" s="1"/>
  <c r="R232" i="31"/>
  <c r="U232" i="31" s="1"/>
  <c r="O220" i="30" s="1"/>
  <c r="R94" i="31"/>
  <c r="U94" i="31" s="1"/>
  <c r="O88" i="30" s="1"/>
  <c r="R83" i="31"/>
  <c r="R117" i="31"/>
  <c r="R208" i="31"/>
  <c r="R245" i="31"/>
  <c r="U245" i="31" s="1"/>
  <c r="O233" i="30" s="1"/>
  <c r="R265" i="31"/>
  <c r="R187" i="31"/>
  <c r="U187" i="31" s="1"/>
  <c r="O176" i="30" s="1"/>
  <c r="R155" i="31"/>
  <c r="P18" i="31"/>
  <c r="R239" i="31"/>
  <c r="R150" i="31"/>
  <c r="R159" i="31"/>
  <c r="R99" i="31"/>
  <c r="R199" i="31"/>
  <c r="R169" i="31"/>
  <c r="U169" i="31" s="1"/>
  <c r="O159" i="30" s="1"/>
  <c r="R229" i="31"/>
  <c r="R250" i="31"/>
  <c r="U250" i="31" s="1"/>
  <c r="O238" i="30" s="1"/>
  <c r="R112" i="31"/>
  <c r="R263" i="31"/>
  <c r="U263" i="31" s="1"/>
  <c r="O251" i="30" s="1"/>
  <c r="R21" i="31"/>
  <c r="R109" i="31"/>
  <c r="U109" i="31" s="1"/>
  <c r="O102" i="30" s="1"/>
  <c r="R29" i="31"/>
  <c r="R194" i="31"/>
  <c r="U194" i="31" s="1"/>
  <c r="O183" i="30" s="1"/>
  <c r="R237" i="31"/>
  <c r="U237" i="31" s="1"/>
  <c r="O225" i="30" s="1"/>
  <c r="R151" i="31"/>
  <c r="R248" i="31"/>
  <c r="R227" i="31"/>
  <c r="U227" i="31" s="1"/>
  <c r="O215" i="30" s="1"/>
  <c r="R48" i="31"/>
  <c r="R53" i="31"/>
  <c r="U53" i="31" s="1"/>
  <c r="O46" i="30" s="1"/>
  <c r="R153" i="31"/>
  <c r="R231" i="31"/>
  <c r="U231" i="31" s="1"/>
  <c r="O219" i="30" s="1"/>
  <c r="R84" i="31"/>
  <c r="U84" i="31" s="1"/>
  <c r="O77" i="30" s="1"/>
  <c r="R268" i="31"/>
  <c r="U268" i="31" s="1"/>
  <c r="O257" i="30" s="1"/>
  <c r="R164" i="31"/>
  <c r="R260" i="31"/>
  <c r="U260" i="31" s="1"/>
  <c r="O248" i="30" s="1"/>
  <c r="R218" i="31"/>
  <c r="R261" i="31"/>
  <c r="U261" i="31" s="1"/>
  <c r="O249" i="30" s="1"/>
  <c r="R175" i="31"/>
  <c r="R50" i="31"/>
  <c r="U50" i="31" s="1"/>
  <c r="O43" i="30" s="1"/>
  <c r="R201" i="31"/>
  <c r="U201" i="31" s="1"/>
  <c r="O190" i="30" s="1"/>
  <c r="R137" i="31"/>
  <c r="U137" i="31" s="1"/>
  <c r="O127" i="30" s="1"/>
  <c r="R110" i="31"/>
  <c r="R241" i="31"/>
  <c r="R255" i="31"/>
  <c r="R254" i="31"/>
  <c r="R203" i="31"/>
  <c r="R80" i="31"/>
  <c r="U80" i="31" s="1"/>
  <c r="O73" i="30" s="1"/>
  <c r="R207" i="31"/>
  <c r="U207" i="31" s="1"/>
  <c r="O195" i="30" s="1"/>
  <c r="R26" i="31"/>
  <c r="U26" i="31" s="1"/>
  <c r="O19" i="30" s="1"/>
  <c r="R90" i="31"/>
  <c r="R98" i="31"/>
  <c r="R91" i="31"/>
  <c r="R61" i="31"/>
  <c r="R182" i="31"/>
  <c r="R252" i="31"/>
  <c r="R154" i="31"/>
  <c r="U154" i="31" s="1"/>
  <c r="O144" i="30" s="1"/>
  <c r="R257" i="31"/>
  <c r="R224" i="31"/>
  <c r="R178" i="31"/>
  <c r="U178" i="31" s="1"/>
  <c r="O168" i="30" s="1"/>
  <c r="R25" i="31"/>
  <c r="R215" i="31"/>
  <c r="U215" i="31" s="1"/>
  <c r="O203" i="30" s="1"/>
  <c r="R258" i="31"/>
  <c r="R113" i="31"/>
  <c r="U113" i="31" s="1"/>
  <c r="R57" i="31"/>
  <c r="U57" i="31" s="1"/>
  <c r="O50" i="30" s="1"/>
  <c r="R30" i="31"/>
  <c r="R107" i="31"/>
  <c r="R70" i="31"/>
  <c r="R136" i="31"/>
  <c r="R132" i="31"/>
  <c r="U132" i="31" s="1"/>
  <c r="O122" i="30" s="1"/>
  <c r="R68" i="31"/>
  <c r="R212" i="31"/>
  <c r="R69" i="31"/>
  <c r="U69" i="31" s="1"/>
  <c r="O62" i="30" s="1"/>
  <c r="R51" i="31"/>
  <c r="U51" i="31" s="1"/>
  <c r="O44" i="30" s="1"/>
  <c r="R177" i="31"/>
  <c r="R74" i="31"/>
  <c r="U74" i="31" s="1"/>
  <c r="O67" i="30" s="1"/>
  <c r="R55" i="31"/>
  <c r="R238" i="31"/>
  <c r="R131" i="31"/>
  <c r="R240" i="31"/>
  <c r="U240" i="31" s="1"/>
  <c r="O228" i="30" s="1"/>
  <c r="R31" i="31"/>
  <c r="R119" i="31"/>
  <c r="U119" i="31" s="1"/>
  <c r="O109" i="30" s="1"/>
  <c r="R170" i="31"/>
  <c r="R216" i="31"/>
  <c r="U216" i="31" s="1"/>
  <c r="O204" i="30" s="1"/>
  <c r="R139" i="31"/>
  <c r="R147" i="31"/>
  <c r="U147" i="31" s="1"/>
  <c r="O137" i="30" s="1"/>
  <c r="R128" i="31"/>
  <c r="R97" i="31"/>
  <c r="R122" i="31"/>
  <c r="U122" i="31" s="1"/>
  <c r="O112" i="30" s="1"/>
  <c r="R181" i="31"/>
  <c r="U181" i="31" s="1"/>
  <c r="O171" i="30" s="1"/>
  <c r="R95" i="31"/>
  <c r="R160" i="31"/>
  <c r="U160" i="31" s="1"/>
  <c r="O150" i="30" s="1"/>
  <c r="R235" i="31"/>
  <c r="R56" i="31"/>
  <c r="U56" i="31" s="1"/>
  <c r="O49" i="30" s="1"/>
  <c r="R92" i="31"/>
  <c r="R228" i="31"/>
  <c r="U228" i="31" s="1"/>
  <c r="O216" i="30" s="1"/>
  <c r="R148" i="31"/>
  <c r="U148" i="31" s="1"/>
  <c r="O138" i="30" s="1"/>
  <c r="R44" i="31"/>
  <c r="U44" i="31" s="1"/>
  <c r="O37" i="30" s="1"/>
  <c r="R206" i="31"/>
  <c r="R179" i="31"/>
  <c r="R190" i="31"/>
  <c r="R185" i="31"/>
  <c r="R226" i="31"/>
  <c r="R183" i="31"/>
  <c r="U183" i="31" s="1"/>
  <c r="R200" i="31"/>
  <c r="R259" i="31"/>
  <c r="U259" i="31" s="1"/>
  <c r="O247" i="30" s="1"/>
  <c r="R152" i="31"/>
  <c r="R135" i="31"/>
  <c r="U135" i="31" s="1"/>
  <c r="O125" i="30" s="1"/>
  <c r="R211" i="31"/>
  <c r="R75" i="31"/>
  <c r="R121" i="31"/>
  <c r="R219" i="31"/>
  <c r="R262" i="31"/>
  <c r="U262" i="31" s="1"/>
  <c r="O250" i="30" s="1"/>
  <c r="R45" i="31"/>
  <c r="U45" i="31" s="1"/>
  <c r="O38" i="30" s="1"/>
  <c r="R202" i="31"/>
  <c r="R256" i="31"/>
  <c r="U256" i="31" s="1"/>
  <c r="O244" i="30" s="1"/>
  <c r="R129" i="31"/>
  <c r="R140" i="31"/>
  <c r="R60" i="31"/>
  <c r="R196" i="31"/>
  <c r="U196" i="31" s="1"/>
  <c r="O185" i="30" s="1"/>
  <c r="R76" i="31"/>
  <c r="U76" i="31" s="1"/>
  <c r="O69" i="30" s="1"/>
  <c r="R184" i="31"/>
  <c r="U184" i="31" s="1"/>
  <c r="O173" i="30" s="1"/>
  <c r="R243" i="31"/>
  <c r="R59" i="31"/>
  <c r="R209" i="31"/>
  <c r="R247" i="31"/>
  <c r="R225" i="31"/>
  <c r="R193" i="31"/>
  <c r="R246" i="31"/>
  <c r="U246" i="31" s="1"/>
  <c r="O234" i="30" s="1"/>
  <c r="R221" i="31"/>
  <c r="U221" i="31" s="1"/>
  <c r="O209" i="30" s="1"/>
  <c r="R96" i="31"/>
  <c r="R249" i="31"/>
  <c r="U249" i="31" s="1"/>
  <c r="O237" i="30" s="1"/>
  <c r="R38" i="31"/>
  <c r="R118" i="31"/>
  <c r="U118" i="31" s="1"/>
  <c r="O108" i="30" s="1"/>
  <c r="R126" i="31"/>
  <c r="R242" i="31"/>
  <c r="U242" i="31" s="1"/>
  <c r="O230" i="30" s="1"/>
  <c r="R33" i="31"/>
  <c r="U33" i="31" s="1"/>
  <c r="O26" i="30" s="1"/>
  <c r="R141" i="31"/>
  <c r="U141" i="31" s="1"/>
  <c r="O131" i="30" s="1"/>
  <c r="R35" i="31"/>
  <c r="R89" i="31"/>
  <c r="U89" i="31" s="1"/>
  <c r="O82" i="30" s="1"/>
  <c r="R77" i="31"/>
  <c r="R39" i="31"/>
  <c r="U39" i="31" s="1"/>
  <c r="O32" i="30" s="1"/>
  <c r="R188" i="31"/>
  <c r="R124" i="31"/>
  <c r="U124" i="31" s="1"/>
  <c r="O114" i="30" s="1"/>
  <c r="R244" i="31"/>
  <c r="U244" i="31" s="1"/>
  <c r="O232" i="30" s="1"/>
  <c r="R116" i="31"/>
  <c r="U116" i="31" s="1"/>
  <c r="R161" i="31"/>
  <c r="R105" i="31"/>
  <c r="U105" i="31" s="1"/>
  <c r="O99" i="30" s="1"/>
  <c r="R123" i="31"/>
  <c r="R176" i="31"/>
  <c r="U176" i="31" s="1"/>
  <c r="O166" i="30" s="1"/>
  <c r="R82" i="31"/>
  <c r="R63" i="31"/>
  <c r="U63" i="31" s="1"/>
  <c r="O56" i="30" s="1"/>
  <c r="R64" i="31"/>
  <c r="U64" i="31" s="1"/>
  <c r="O57" i="30" s="1"/>
  <c r="R233" i="31"/>
  <c r="U233" i="31" s="1"/>
  <c r="O221" i="30" s="1"/>
  <c r="R41" i="31"/>
  <c r="R73" i="31"/>
  <c r="R173" i="31"/>
  <c r="R144" i="31"/>
  <c r="U144" i="31" s="1"/>
  <c r="O134" i="30" s="1"/>
  <c r="R158" i="31"/>
  <c r="R210" i="31"/>
  <c r="U210" i="31" s="1"/>
  <c r="O198" i="30" s="1"/>
  <c r="R167" i="31"/>
  <c r="R220" i="31"/>
  <c r="U220" i="31" s="1"/>
  <c r="O208" i="30" s="1"/>
  <c r="R204" i="31"/>
  <c r="R197" i="31"/>
  <c r="U197" i="31" s="1"/>
  <c r="O186" i="30" s="1"/>
  <c r="R251" i="31"/>
  <c r="R234" i="31"/>
  <c r="R54" i="31"/>
  <c r="R52" i="31"/>
  <c r="U52" i="31" s="1"/>
  <c r="O45" i="30" s="1"/>
  <c r="R46" i="31"/>
  <c r="U46" i="31" s="1"/>
  <c r="O39" i="30" s="1"/>
  <c r="R205" i="31"/>
  <c r="U205" i="31" s="1"/>
  <c r="R58" i="31"/>
  <c r="R264" i="31"/>
  <c r="U264" i="31" s="1"/>
  <c r="O253" i="30" s="1"/>
  <c r="R86" i="31"/>
  <c r="R149" i="31"/>
  <c r="R111" i="31"/>
  <c r="R168" i="31"/>
  <c r="U168" i="31" s="1"/>
  <c r="O158" i="30" s="1"/>
  <c r="R222" i="31"/>
  <c r="U222" i="31" s="1"/>
  <c r="R186" i="31"/>
  <c r="U186" i="31" s="1"/>
  <c r="O175" i="30" s="1"/>
  <c r="R266" i="31"/>
  <c r="R22" i="31"/>
  <c r="U22" i="31" s="1"/>
  <c r="O15" i="30" s="1"/>
  <c r="R71" i="31"/>
  <c r="R34" i="31"/>
  <c r="U34" i="31" s="1"/>
  <c r="O27" i="30" s="1"/>
  <c r="R37" i="31"/>
  <c r="R23" i="31"/>
  <c r="U23" i="31" s="1"/>
  <c r="O16" i="30" s="1"/>
  <c r="R174" i="31"/>
  <c r="U174" i="31" s="1"/>
  <c r="O164" i="30" s="1"/>
  <c r="R62" i="31"/>
  <c r="U62" i="31" s="1"/>
  <c r="O55" i="30" s="1"/>
  <c r="R104" i="31"/>
  <c r="R130" i="31"/>
  <c r="U130" i="31" s="1"/>
  <c r="O120" i="30" s="1"/>
  <c r="R172" i="31"/>
  <c r="R36" i="31"/>
  <c r="R101" i="31"/>
  <c r="R47" i="31"/>
  <c r="U47" i="31" s="1"/>
  <c r="O40" i="30" s="1"/>
  <c r="R230" i="31"/>
  <c r="U230" i="31" s="1"/>
  <c r="O218" i="30" s="1"/>
  <c r="R214" i="31"/>
  <c r="U214" i="31" s="1"/>
  <c r="O202" i="30" s="1"/>
  <c r="R217" i="31"/>
  <c r="R162" i="31"/>
  <c r="U162" i="31" s="1"/>
  <c r="O152" i="30" s="1"/>
  <c r="R213" i="31"/>
  <c r="R127" i="31"/>
  <c r="R28" i="31"/>
  <c r="R138" i="31"/>
  <c r="R120" i="31"/>
  <c r="U120" i="31" s="1"/>
  <c r="O110" i="30" s="1"/>
  <c r="R40" i="31"/>
  <c r="U40" i="31" s="1"/>
  <c r="O33" i="30" s="1"/>
  <c r="R42" i="31"/>
  <c r="R198" i="31"/>
  <c r="U198" i="31" s="1"/>
  <c r="O187" i="30" s="1"/>
  <c r="R180" i="31"/>
  <c r="R115" i="31"/>
  <c r="R195" i="31"/>
  <c r="R143" i="31"/>
  <c r="U143" i="31" s="1"/>
  <c r="O133" i="30" s="1"/>
  <c r="R49" i="31"/>
  <c r="U49" i="31" s="1"/>
  <c r="O42" i="30" s="1"/>
  <c r="R24" i="31"/>
  <c r="U24" i="31" s="1"/>
  <c r="O17" i="30" s="1"/>
  <c r="R106" i="31"/>
  <c r="R87" i="31"/>
  <c r="U87" i="31" s="1"/>
  <c r="O80" i="30" s="1"/>
  <c r="R163" i="31"/>
  <c r="R145" i="31"/>
  <c r="R253" i="31"/>
  <c r="R100" i="31"/>
  <c r="U100" i="31" s="1"/>
  <c r="O94" i="30" s="1"/>
  <c r="R192" i="31"/>
  <c r="U192" i="31" s="1"/>
  <c r="O181" i="30" s="1"/>
  <c r="R93" i="31"/>
  <c r="U93" i="31" s="1"/>
  <c r="O87" i="30" s="1"/>
  <c r="R191" i="31"/>
  <c r="R72" i="31"/>
  <c r="U72" i="31" s="1"/>
  <c r="O65" i="30" s="1"/>
  <c r="R171" i="31"/>
  <c r="R108" i="31"/>
  <c r="U108" i="31" s="1"/>
  <c r="O101" i="30" s="1"/>
  <c r="R78" i="31"/>
  <c r="R32" i="31"/>
  <c r="U32" i="31" s="1"/>
  <c r="O25" i="30" s="1"/>
  <c r="R269" i="31"/>
  <c r="U269" i="31" s="1"/>
  <c r="O258" i="30" s="1"/>
  <c r="R81" i="31"/>
  <c r="U81" i="31" s="1"/>
  <c r="O74" i="30" s="1"/>
  <c r="R66" i="31"/>
  <c r="R189" i="31"/>
  <c r="U189" i="31" s="1"/>
  <c r="O178" i="30" s="1"/>
  <c r="R79" i="31"/>
  <c r="R88" i="31"/>
  <c r="R156" i="31"/>
  <c r="R125" i="31"/>
  <c r="U125" i="31" s="1"/>
  <c r="O115" i="30" s="1"/>
  <c r="M14" i="30"/>
  <c r="M22" i="30"/>
  <c r="M30" i="30"/>
  <c r="M38" i="30"/>
  <c r="M46" i="30"/>
  <c r="M54" i="30"/>
  <c r="M62" i="30"/>
  <c r="M70" i="30"/>
  <c r="M78" i="30"/>
  <c r="M86" i="30"/>
  <c r="M94" i="30"/>
  <c r="M102" i="30"/>
  <c r="M110" i="30"/>
  <c r="M118" i="30"/>
  <c r="M126" i="30"/>
  <c r="M134" i="30"/>
  <c r="M142" i="30"/>
  <c r="M150" i="30"/>
  <c r="M158" i="30"/>
  <c r="M166" i="30"/>
  <c r="M174" i="30"/>
  <c r="M182" i="30"/>
  <c r="M190" i="30"/>
  <c r="M198" i="30"/>
  <c r="M206" i="30"/>
  <c r="M214" i="30"/>
  <c r="M222" i="30"/>
  <c r="M230" i="30"/>
  <c r="M238" i="30"/>
  <c r="M246" i="30"/>
  <c r="M254" i="30"/>
  <c r="M45" i="30"/>
  <c r="M101" i="30"/>
  <c r="M149" i="30"/>
  <c r="M197" i="30"/>
  <c r="M229" i="30"/>
  <c r="M15" i="30"/>
  <c r="M23" i="30"/>
  <c r="M31" i="30"/>
  <c r="M39" i="30"/>
  <c r="M47" i="30"/>
  <c r="M55" i="30"/>
  <c r="M63" i="30"/>
  <c r="M71" i="30"/>
  <c r="M79" i="30"/>
  <c r="M87" i="30"/>
  <c r="M95" i="30"/>
  <c r="M103" i="30"/>
  <c r="M111" i="30"/>
  <c r="M119" i="30"/>
  <c r="M127" i="30"/>
  <c r="M135" i="30"/>
  <c r="M143" i="30"/>
  <c r="M151" i="30"/>
  <c r="M159" i="30"/>
  <c r="M167" i="30"/>
  <c r="M175" i="30"/>
  <c r="M183" i="30"/>
  <c r="M191" i="30"/>
  <c r="M199" i="30"/>
  <c r="M207" i="30"/>
  <c r="M215" i="30"/>
  <c r="M223" i="30"/>
  <c r="M231" i="30"/>
  <c r="M239" i="30"/>
  <c r="M247" i="30"/>
  <c r="M255" i="30"/>
  <c r="M53" i="30"/>
  <c r="M93" i="30"/>
  <c r="M133" i="30"/>
  <c r="M189" i="30"/>
  <c r="M245" i="30"/>
  <c r="M16" i="30"/>
  <c r="M24" i="30"/>
  <c r="M32" i="30"/>
  <c r="M40" i="30"/>
  <c r="M48" i="30"/>
  <c r="M56" i="30"/>
  <c r="M64" i="30"/>
  <c r="M72" i="30"/>
  <c r="M80" i="30"/>
  <c r="M88" i="30"/>
  <c r="M96" i="30"/>
  <c r="M104" i="30"/>
  <c r="M112" i="30"/>
  <c r="M120" i="30"/>
  <c r="M128" i="30"/>
  <c r="M136" i="30"/>
  <c r="M144" i="30"/>
  <c r="M152" i="30"/>
  <c r="M160" i="30"/>
  <c r="M168" i="30"/>
  <c r="M176" i="30"/>
  <c r="M184" i="30"/>
  <c r="M192" i="30"/>
  <c r="M200" i="30"/>
  <c r="M208" i="30"/>
  <c r="M216" i="30"/>
  <c r="M224" i="30"/>
  <c r="M232" i="30"/>
  <c r="M240" i="30"/>
  <c r="M248" i="30"/>
  <c r="M256" i="30"/>
  <c r="M29" i="30"/>
  <c r="M173" i="30"/>
  <c r="M17" i="30"/>
  <c r="M25" i="30"/>
  <c r="M33" i="30"/>
  <c r="M41" i="30"/>
  <c r="M49" i="30"/>
  <c r="M57" i="30"/>
  <c r="M65" i="30"/>
  <c r="M73" i="30"/>
  <c r="M81" i="30"/>
  <c r="M89" i="30"/>
  <c r="M97" i="30"/>
  <c r="M105" i="30"/>
  <c r="M113" i="30"/>
  <c r="M121" i="30"/>
  <c r="M129" i="30"/>
  <c r="M137" i="30"/>
  <c r="M145" i="30"/>
  <c r="M153" i="30"/>
  <c r="M161" i="30"/>
  <c r="M169" i="30"/>
  <c r="M177" i="30"/>
  <c r="M185" i="30"/>
  <c r="M193" i="30"/>
  <c r="M201" i="30"/>
  <c r="M209" i="30"/>
  <c r="M217" i="30"/>
  <c r="M225" i="30"/>
  <c r="M233" i="30"/>
  <c r="M241" i="30"/>
  <c r="M249" i="30"/>
  <c r="M257" i="30"/>
  <c r="M37" i="30"/>
  <c r="M61" i="30"/>
  <c r="M69" i="30"/>
  <c r="M85" i="30"/>
  <c r="M117" i="30"/>
  <c r="M141" i="30"/>
  <c r="M165" i="30"/>
  <c r="M213" i="30"/>
  <c r="M253" i="30"/>
  <c r="M18" i="30"/>
  <c r="M26" i="30"/>
  <c r="M34" i="30"/>
  <c r="M42" i="30"/>
  <c r="M50" i="30"/>
  <c r="M58" i="30"/>
  <c r="M66" i="30"/>
  <c r="M74" i="30"/>
  <c r="M82" i="30"/>
  <c r="M90" i="30"/>
  <c r="M98" i="30"/>
  <c r="M106" i="30"/>
  <c r="M114" i="30"/>
  <c r="M122" i="30"/>
  <c r="M130" i="30"/>
  <c r="M138" i="30"/>
  <c r="M146" i="30"/>
  <c r="M154" i="30"/>
  <c r="M162" i="30"/>
  <c r="M170" i="30"/>
  <c r="M178" i="30"/>
  <c r="M186" i="30"/>
  <c r="M194" i="30"/>
  <c r="M202" i="30"/>
  <c r="M210" i="30"/>
  <c r="M218" i="30"/>
  <c r="M226" i="30"/>
  <c r="M234" i="30"/>
  <c r="M242" i="30"/>
  <c r="M250" i="30"/>
  <c r="M258" i="30"/>
  <c r="M19" i="30"/>
  <c r="M27" i="30"/>
  <c r="M35" i="30"/>
  <c r="M43" i="30"/>
  <c r="M51" i="30"/>
  <c r="M59" i="30"/>
  <c r="M67" i="30"/>
  <c r="M75" i="30"/>
  <c r="M83" i="30"/>
  <c r="M91" i="30"/>
  <c r="M99" i="30"/>
  <c r="M107" i="30"/>
  <c r="M115" i="30"/>
  <c r="M123" i="30"/>
  <c r="M131" i="30"/>
  <c r="M139" i="30"/>
  <c r="M147" i="30"/>
  <c r="M155" i="30"/>
  <c r="M163" i="30"/>
  <c r="M171" i="30"/>
  <c r="M179" i="30"/>
  <c r="M187" i="30"/>
  <c r="M195" i="30"/>
  <c r="M203" i="30"/>
  <c r="M211" i="30"/>
  <c r="M219" i="30"/>
  <c r="M227" i="30"/>
  <c r="M235" i="30"/>
  <c r="M243" i="30"/>
  <c r="M251" i="30"/>
  <c r="M21" i="30"/>
  <c r="M125" i="30"/>
  <c r="M181" i="30"/>
  <c r="M221" i="30"/>
  <c r="M20" i="30"/>
  <c r="M28" i="30"/>
  <c r="M36" i="30"/>
  <c r="M44" i="30"/>
  <c r="M52" i="30"/>
  <c r="M60" i="30"/>
  <c r="M68" i="30"/>
  <c r="M76" i="30"/>
  <c r="M84" i="30"/>
  <c r="M92" i="30"/>
  <c r="M100" i="30"/>
  <c r="M108" i="30"/>
  <c r="M116" i="30"/>
  <c r="M124" i="30"/>
  <c r="M132" i="30"/>
  <c r="M140" i="30"/>
  <c r="M148" i="30"/>
  <c r="M156" i="30"/>
  <c r="M164" i="30"/>
  <c r="M172" i="30"/>
  <c r="M180" i="30"/>
  <c r="M188" i="30"/>
  <c r="M196" i="30"/>
  <c r="M204" i="30"/>
  <c r="M212" i="30"/>
  <c r="M220" i="30"/>
  <c r="M228" i="30"/>
  <c r="M236" i="30"/>
  <c r="M244" i="30"/>
  <c r="M252" i="30"/>
  <c r="M77" i="30"/>
  <c r="M109" i="30"/>
  <c r="M157" i="30"/>
  <c r="M205" i="30"/>
  <c r="M237" i="30"/>
  <c r="M13" i="30"/>
  <c r="U55" i="31"/>
  <c r="O48" i="30" s="1"/>
  <c r="U266" i="31"/>
  <c r="O255" i="30" s="1"/>
  <c r="U60" i="31"/>
  <c r="O53" i="30" s="1"/>
  <c r="U21" i="31"/>
  <c r="O14" i="30" s="1"/>
  <c r="U71" i="31"/>
  <c r="O64" i="30" s="1"/>
  <c r="U188" i="31"/>
  <c r="O177" i="30" s="1"/>
  <c r="U258" i="31"/>
  <c r="O246" i="30" s="1"/>
  <c r="U85" i="31"/>
  <c r="O78" i="30" s="1"/>
  <c r="U96" i="31"/>
  <c r="O90" i="30" s="1"/>
  <c r="U236" i="31"/>
  <c r="O224" i="30" s="1"/>
  <c r="U54" i="31"/>
  <c r="O47" i="30" s="1"/>
  <c r="U235" i="31"/>
  <c r="O223" i="30" s="1"/>
  <c r="U203" i="31"/>
  <c r="O191" i="30" s="1"/>
  <c r="U171" i="31"/>
  <c r="O161" i="30" s="1"/>
  <c r="U139" i="31"/>
  <c r="O129" i="30" s="1"/>
  <c r="U202" i="31"/>
  <c r="U254" i="31"/>
  <c r="O242" i="30" s="1"/>
  <c r="U136" i="31"/>
  <c r="O126" i="30" s="1"/>
  <c r="U208" i="31"/>
  <c r="O196" i="30" s="1"/>
  <c r="U190" i="31"/>
  <c r="O179" i="30" s="1"/>
  <c r="U101" i="31"/>
  <c r="O95" i="30" s="1"/>
  <c r="U180" i="31"/>
  <c r="O170" i="30" s="1"/>
  <c r="U182" i="31"/>
  <c r="O172" i="30" s="1"/>
  <c r="U267" i="31"/>
  <c r="O256" i="30" s="1"/>
  <c r="U86" i="31"/>
  <c r="O79" i="30" s="1"/>
  <c r="U252" i="31"/>
  <c r="O240" i="30" s="1"/>
  <c r="U217" i="31"/>
  <c r="O205" i="30" s="1"/>
  <c r="U185" i="31"/>
  <c r="O174" i="30" s="1"/>
  <c r="U153" i="31"/>
  <c r="O143" i="30" s="1"/>
  <c r="U229" i="31"/>
  <c r="O217" i="30" s="1"/>
  <c r="U128" i="31"/>
  <c r="O118" i="30" s="1"/>
  <c r="U48" i="31"/>
  <c r="O41" i="30" s="1"/>
  <c r="U77" i="31"/>
  <c r="O70" i="30" s="1"/>
  <c r="U75" i="31"/>
  <c r="O68" i="30" s="1"/>
  <c r="U66" i="31"/>
  <c r="O59" i="30" s="1"/>
  <c r="U115" i="31"/>
  <c r="O106" i="30" s="1"/>
  <c r="U157" i="31"/>
  <c r="O147" i="30" s="1"/>
  <c r="U193" i="31"/>
  <c r="O182" i="30" s="1"/>
  <c r="U110" i="31"/>
  <c r="O103" i="30" s="1"/>
  <c r="U27" i="31"/>
  <c r="O20" i="30" s="1"/>
  <c r="U121" i="31"/>
  <c r="O111" i="30" s="1"/>
  <c r="U140" i="31"/>
  <c r="O130" i="30" s="1"/>
  <c r="U195" i="31"/>
  <c r="O184" i="30" s="1"/>
  <c r="U163" i="31"/>
  <c r="O153" i="30" s="1"/>
  <c r="U131" i="31"/>
  <c r="O121" i="30" s="1"/>
  <c r="U166" i="31"/>
  <c r="O156" i="30" s="1"/>
  <c r="U158" i="31"/>
  <c r="O148" i="30" s="1"/>
  <c r="U37" i="31"/>
  <c r="O30" i="30" s="1"/>
  <c r="U239" i="31"/>
  <c r="O227" i="30" s="1"/>
  <c r="U175" i="31"/>
  <c r="O165" i="30" s="1"/>
  <c r="U238" i="31"/>
  <c r="O226" i="30" s="1"/>
  <c r="U95" i="31"/>
  <c r="O89" i="30" s="1"/>
  <c r="U67" i="31"/>
  <c r="O60" i="30" s="1"/>
  <c r="U58" i="31"/>
  <c r="O51" i="30" s="1"/>
  <c r="U41" i="31"/>
  <c r="O34" i="30" s="1"/>
  <c r="U42" i="31"/>
  <c r="O35" i="30" s="1"/>
  <c r="U65" i="31"/>
  <c r="O58" i="30" s="1"/>
  <c r="U152" i="31"/>
  <c r="O142" i="30" s="1"/>
  <c r="U212" i="31"/>
  <c r="O200" i="30" s="1"/>
  <c r="U92" i="31"/>
  <c r="O86" i="30" s="1"/>
  <c r="U150" i="31"/>
  <c r="O140" i="30" s="1"/>
  <c r="U149" i="31"/>
  <c r="O139" i="30" s="1"/>
  <c r="U241" i="31"/>
  <c r="O229" i="30" s="1"/>
  <c r="U209" i="31"/>
  <c r="O197" i="30" s="1"/>
  <c r="U177" i="31"/>
  <c r="O167" i="30" s="1"/>
  <c r="U145" i="31"/>
  <c r="O135" i="30" s="1"/>
  <c r="U173" i="31"/>
  <c r="O163" i="30" s="1"/>
  <c r="U224" i="31"/>
  <c r="O212" i="30" s="1"/>
  <c r="U112" i="31"/>
  <c r="U199" i="31"/>
  <c r="O188" i="30" s="1"/>
  <c r="U167" i="31"/>
  <c r="O157" i="30" s="1"/>
  <c r="U31" i="31"/>
  <c r="O24" i="30" s="1"/>
  <c r="U123" i="31"/>
  <c r="O113" i="30" s="1"/>
  <c r="U59" i="31"/>
  <c r="O52" i="30" s="1"/>
  <c r="U97" i="31"/>
  <c r="O91" i="30" s="1"/>
  <c r="U68" i="31"/>
  <c r="O61" i="30" s="1"/>
  <c r="U106" i="31"/>
  <c r="O100" i="30" s="1"/>
  <c r="U25" i="31"/>
  <c r="O18" i="30" s="1"/>
  <c r="U257" i="31"/>
  <c r="O245" i="30" s="1"/>
  <c r="U161" i="31"/>
  <c r="O151" i="30" s="1"/>
  <c r="U164" i="31"/>
  <c r="O154" i="30" s="1"/>
  <c r="U70" i="31"/>
  <c r="O63" i="30" s="1"/>
  <c r="U28" i="31"/>
  <c r="O21" i="30" s="1"/>
  <c r="U165" i="31"/>
  <c r="O155" i="30" s="1"/>
  <c r="U83" i="31"/>
  <c r="O76" i="30" s="1"/>
  <c r="U172" i="31"/>
  <c r="O162" i="30" s="1"/>
  <c r="U36" i="31"/>
  <c r="O29" i="30" s="1"/>
  <c r="U251" i="31"/>
  <c r="O239" i="30" s="1"/>
  <c r="U219" i="31"/>
  <c r="O207" i="30" s="1"/>
  <c r="U155" i="31"/>
  <c r="O145" i="30" s="1"/>
  <c r="U234" i="31"/>
  <c r="O222" i="30" s="1"/>
  <c r="U170" i="31"/>
  <c r="O160" i="30" s="1"/>
  <c r="U78" i="31"/>
  <c r="O71" i="30" s="1"/>
  <c r="U200" i="31"/>
  <c r="O189" i="30" s="1"/>
  <c r="U104" i="31"/>
  <c r="O98" i="30" s="1"/>
  <c r="U126" i="31"/>
  <c r="O116" i="30" s="1"/>
  <c r="U102" i="31"/>
  <c r="O96" i="30" s="1"/>
  <c r="U30" i="31"/>
  <c r="O23" i="30" s="1"/>
  <c r="U213" i="31"/>
  <c r="O201" i="30" s="1"/>
  <c r="U226" i="31"/>
  <c r="O214" i="30" s="1"/>
  <c r="U265" i="31"/>
  <c r="O254" i="30" s="1"/>
  <c r="U129" i="31"/>
  <c r="O119" i="30" s="1"/>
  <c r="U248" i="31"/>
  <c r="O236" i="30" s="1"/>
  <c r="U61" i="31"/>
  <c r="O54" i="30" s="1"/>
  <c r="U88" i="31"/>
  <c r="O81" i="30" s="1"/>
  <c r="U255" i="31"/>
  <c r="O243" i="30" s="1"/>
  <c r="U223" i="31"/>
  <c r="O211" i="30" s="1"/>
  <c r="U191" i="31"/>
  <c r="O180" i="30" s="1"/>
  <c r="U159" i="31"/>
  <c r="O149" i="30" s="1"/>
  <c r="U127" i="31"/>
  <c r="O117" i="30" s="1"/>
  <c r="U79" i="31"/>
  <c r="O72" i="30" s="1"/>
  <c r="U29" i="31"/>
  <c r="O22" i="30" s="1"/>
  <c r="U107" i="31"/>
  <c r="U43" i="31"/>
  <c r="O36" i="30" s="1"/>
  <c r="U98" i="31"/>
  <c r="O92" i="30" s="1"/>
  <c r="U35" i="31"/>
  <c r="O28" i="30" s="1"/>
  <c r="U142" i="31"/>
  <c r="O132" i="30" s="1"/>
  <c r="U253" i="31"/>
  <c r="O241" i="30" s="1"/>
  <c r="U225" i="31"/>
  <c r="O213" i="30" s="1"/>
  <c r="U247" i="31"/>
  <c r="O235" i="30" s="1"/>
  <c r="U151" i="31"/>
  <c r="O141" i="30" s="1"/>
  <c r="U91" i="31"/>
  <c r="O84" i="30" s="1"/>
  <c r="U82" i="31"/>
  <c r="O75" i="30" s="1"/>
  <c r="U111" i="31"/>
  <c r="O104" i="30" s="1"/>
  <c r="U133" i="31"/>
  <c r="O123" i="30" s="1"/>
  <c r="U138" i="31"/>
  <c r="O128" i="30" s="1"/>
  <c r="U204" i="31"/>
  <c r="O193" i="30" s="1"/>
  <c r="U243" i="31"/>
  <c r="O231" i="30" s="1"/>
  <c r="U211" i="31"/>
  <c r="O199" i="30" s="1"/>
  <c r="U179" i="31"/>
  <c r="O169" i="30" s="1"/>
  <c r="U218" i="31"/>
  <c r="O206" i="30" s="1"/>
  <c r="U206" i="31"/>
  <c r="O194" i="30" s="1"/>
  <c r="U38" i="31"/>
  <c r="O31" i="30" s="1"/>
  <c r="U20" i="31"/>
  <c r="O13" i="30" s="1"/>
  <c r="U156" i="31"/>
  <c r="O146" i="30" s="1"/>
  <c r="U117" i="31"/>
  <c r="O107" i="30" s="1"/>
  <c r="U99" i="31"/>
  <c r="O93" i="30" s="1"/>
  <c r="U90" i="31"/>
  <c r="O83" i="30" s="1"/>
  <c r="U73" i="31"/>
  <c r="O66" i="30" s="1"/>
  <c r="N18" i="31"/>
  <c r="M11" i="30" l="1"/>
  <c r="U18" i="31"/>
  <c r="Q18" i="31"/>
  <c r="R18" i="31" l="1"/>
  <c r="AE24" i="18"/>
  <c r="F25" i="19"/>
  <c r="E42" i="19"/>
  <c r="F87" i="19"/>
  <c r="F93" i="19"/>
  <c r="G144" i="19"/>
  <c r="G192" i="19"/>
  <c r="G195" i="19"/>
  <c r="E217" i="19"/>
  <c r="G218" i="19"/>
  <c r="F228" i="19"/>
  <c r="E230" i="19"/>
  <c r="G240" i="19"/>
  <c r="G241" i="19"/>
  <c r="G249" i="19"/>
  <c r="E258" i="19"/>
  <c r="G258" i="19"/>
  <c r="E257" i="19"/>
  <c r="G257" i="19"/>
  <c r="E256" i="19"/>
  <c r="G256" i="19"/>
  <c r="E255" i="19"/>
  <c r="G255" i="19"/>
  <c r="F255" i="19"/>
  <c r="E254" i="19"/>
  <c r="G254" i="19"/>
  <c r="E253" i="19"/>
  <c r="G253" i="19"/>
  <c r="E252" i="19"/>
  <c r="G252" i="19"/>
  <c r="E251" i="19"/>
  <c r="F251" i="19"/>
  <c r="E250" i="19"/>
  <c r="G250" i="19"/>
  <c r="E249" i="19"/>
  <c r="F249" i="19"/>
  <c r="E248" i="19"/>
  <c r="G248" i="19"/>
  <c r="F248" i="19"/>
  <c r="E246" i="19"/>
  <c r="I246" i="29"/>
  <c r="F246" i="19"/>
  <c r="E245" i="19"/>
  <c r="G245" i="19"/>
  <c r="E244" i="19"/>
  <c r="G244" i="19"/>
  <c r="I244" i="29"/>
  <c r="E243" i="19"/>
  <c r="F243" i="19"/>
  <c r="E242" i="19"/>
  <c r="F242" i="19"/>
  <c r="E241" i="19"/>
  <c r="E240" i="19"/>
  <c r="I240" i="29"/>
  <c r="E239" i="19"/>
  <c r="G239" i="19"/>
  <c r="F239" i="19"/>
  <c r="E238" i="19"/>
  <c r="G238" i="19"/>
  <c r="F238" i="19"/>
  <c r="E143" i="19"/>
  <c r="G143" i="19"/>
  <c r="E237" i="19"/>
  <c r="G237" i="19"/>
  <c r="E236" i="19"/>
  <c r="G236" i="19"/>
  <c r="F236" i="19"/>
  <c r="E235" i="19"/>
  <c r="I234" i="29"/>
  <c r="F235" i="19"/>
  <c r="E234" i="19"/>
  <c r="G234" i="19"/>
  <c r="E233" i="19"/>
  <c r="G233" i="19"/>
  <c r="I232" i="29"/>
  <c r="E232" i="19"/>
  <c r="F232" i="19"/>
  <c r="E121" i="19"/>
  <c r="G121" i="19"/>
  <c r="F121" i="19"/>
  <c r="E231" i="19"/>
  <c r="G231" i="19"/>
  <c r="G230" i="19"/>
  <c r="E229" i="19"/>
  <c r="G229" i="19"/>
  <c r="E112" i="19"/>
  <c r="F112" i="19"/>
  <c r="E228" i="19"/>
  <c r="G228" i="19"/>
  <c r="E106" i="19"/>
  <c r="G106" i="19"/>
  <c r="F106" i="19"/>
  <c r="H106" i="19" s="1"/>
  <c r="E227" i="19"/>
  <c r="G227" i="19"/>
  <c r="F227" i="19"/>
  <c r="E226" i="19"/>
  <c r="G226" i="19"/>
  <c r="F226" i="19"/>
  <c r="E225" i="19"/>
  <c r="G225" i="19"/>
  <c r="I221" i="29"/>
  <c r="E224" i="19"/>
  <c r="G224" i="19"/>
  <c r="F224" i="19"/>
  <c r="E223" i="19"/>
  <c r="G223" i="19"/>
  <c r="F223" i="19"/>
  <c r="E222" i="19"/>
  <c r="G222" i="19"/>
  <c r="I218" i="29"/>
  <c r="E221" i="19"/>
  <c r="G221" i="19"/>
  <c r="F221" i="19"/>
  <c r="E220" i="19"/>
  <c r="F220" i="19"/>
  <c r="E219" i="19"/>
  <c r="G219" i="19"/>
  <c r="F219" i="19"/>
  <c r="E98" i="19"/>
  <c r="G98" i="19"/>
  <c r="F98" i="19"/>
  <c r="E218" i="19"/>
  <c r="G217" i="19"/>
  <c r="E216" i="19"/>
  <c r="G216" i="19"/>
  <c r="F216" i="19"/>
  <c r="E215" i="19"/>
  <c r="G215" i="19"/>
  <c r="E214" i="19"/>
  <c r="G214" i="19"/>
  <c r="I209" i="29"/>
  <c r="E213" i="19"/>
  <c r="F213" i="19"/>
  <c r="E212" i="19"/>
  <c r="I207" i="29"/>
  <c r="G212" i="19"/>
  <c r="F212" i="19"/>
  <c r="E211" i="19"/>
  <c r="G211" i="19"/>
  <c r="I206" i="29"/>
  <c r="E210" i="19"/>
  <c r="G210" i="19"/>
  <c r="F210" i="19"/>
  <c r="E209" i="19"/>
  <c r="G209" i="19"/>
  <c r="E208" i="19"/>
  <c r="G208" i="19"/>
  <c r="F208" i="19"/>
  <c r="E88" i="19"/>
  <c r="G88" i="19"/>
  <c r="E207" i="19"/>
  <c r="G207" i="19"/>
  <c r="E206" i="19"/>
  <c r="F206" i="19"/>
  <c r="E205" i="19"/>
  <c r="G205" i="19"/>
  <c r="H205" i="19" s="1"/>
  <c r="F205" i="19"/>
  <c r="E204" i="19"/>
  <c r="G204" i="19"/>
  <c r="F204" i="19"/>
  <c r="E203" i="19"/>
  <c r="G203" i="19"/>
  <c r="I197" i="29"/>
  <c r="E202" i="19"/>
  <c r="G202" i="19"/>
  <c r="F202" i="19"/>
  <c r="E201" i="19"/>
  <c r="G201" i="19"/>
  <c r="F201" i="19"/>
  <c r="E200" i="19"/>
  <c r="G200" i="19"/>
  <c r="E199" i="19"/>
  <c r="G199" i="19"/>
  <c r="E198" i="19"/>
  <c r="F198" i="19"/>
  <c r="E78" i="19"/>
  <c r="G78" i="19"/>
  <c r="F78" i="19"/>
  <c r="E197" i="19"/>
  <c r="G197" i="19"/>
  <c r="H197" i="19" s="1"/>
  <c r="F197" i="19"/>
  <c r="E196" i="19"/>
  <c r="G196" i="19"/>
  <c r="E195" i="19"/>
  <c r="I188" i="29"/>
  <c r="E194" i="19"/>
  <c r="G194" i="19"/>
  <c r="F194" i="19"/>
  <c r="E193" i="19"/>
  <c r="G193" i="19"/>
  <c r="E192" i="19"/>
  <c r="E191" i="19"/>
  <c r="F191" i="19"/>
  <c r="E190" i="19"/>
  <c r="G190" i="19"/>
  <c r="F190" i="19"/>
  <c r="H190" i="19" s="1"/>
  <c r="E189" i="19"/>
  <c r="G189" i="19"/>
  <c r="F189" i="19"/>
  <c r="E188" i="19"/>
  <c r="G188" i="19"/>
  <c r="E187" i="19"/>
  <c r="G187" i="19"/>
  <c r="E186" i="19"/>
  <c r="G186" i="19"/>
  <c r="F186" i="19"/>
  <c r="E185" i="19"/>
  <c r="G185" i="19"/>
  <c r="E184" i="19"/>
  <c r="G184" i="19"/>
  <c r="E183" i="19"/>
  <c r="F183" i="19"/>
  <c r="E182" i="19"/>
  <c r="G182" i="19"/>
  <c r="F182" i="19"/>
  <c r="E181" i="19"/>
  <c r="G181" i="19"/>
  <c r="F181" i="19"/>
  <c r="E180" i="19"/>
  <c r="G180" i="19"/>
  <c r="E179" i="19"/>
  <c r="G179" i="19"/>
  <c r="E178" i="19"/>
  <c r="G178" i="19"/>
  <c r="F178" i="19"/>
  <c r="E177" i="19"/>
  <c r="G177" i="19"/>
  <c r="E176" i="19"/>
  <c r="G176" i="19"/>
  <c r="E175" i="19"/>
  <c r="F175" i="19"/>
  <c r="E174" i="19"/>
  <c r="G174" i="19"/>
  <c r="F174" i="19"/>
  <c r="E173" i="19"/>
  <c r="G173" i="19"/>
  <c r="F173" i="19"/>
  <c r="E172" i="19"/>
  <c r="G172" i="19"/>
  <c r="E171" i="19"/>
  <c r="G171" i="19"/>
  <c r="E170" i="19"/>
  <c r="G170" i="19"/>
  <c r="F170" i="19"/>
  <c r="H170" i="19" s="1"/>
  <c r="E169" i="19"/>
  <c r="G169" i="19"/>
  <c r="F169" i="19"/>
  <c r="E168" i="19"/>
  <c r="G168" i="19"/>
  <c r="E167" i="19"/>
  <c r="G167" i="19"/>
  <c r="F167" i="19"/>
  <c r="E166" i="19"/>
  <c r="G166" i="19"/>
  <c r="F166" i="19"/>
  <c r="E165" i="19"/>
  <c r="G165" i="19"/>
  <c r="F165" i="19"/>
  <c r="H165" i="19" s="1"/>
  <c r="E164" i="19"/>
  <c r="G164" i="19"/>
  <c r="E163" i="19"/>
  <c r="G163" i="19"/>
  <c r="E162" i="19"/>
  <c r="G162" i="19"/>
  <c r="F162" i="19"/>
  <c r="E161" i="19"/>
  <c r="G161" i="19"/>
  <c r="E160" i="19"/>
  <c r="G160" i="19"/>
  <c r="E159" i="19"/>
  <c r="F159" i="19"/>
  <c r="E158" i="19"/>
  <c r="G158" i="19"/>
  <c r="F158" i="19"/>
  <c r="H158" i="19" s="1"/>
  <c r="E157" i="19"/>
  <c r="G157" i="19"/>
  <c r="F157" i="19"/>
  <c r="E156" i="19"/>
  <c r="G156" i="19"/>
  <c r="E155" i="19"/>
  <c r="G155" i="19"/>
  <c r="E154" i="19"/>
  <c r="G154" i="19"/>
  <c r="F154" i="19"/>
  <c r="H154" i="19" s="1"/>
  <c r="E153" i="19"/>
  <c r="G153" i="19"/>
  <c r="E152" i="19"/>
  <c r="G152" i="19"/>
  <c r="I145" i="29"/>
  <c r="E151" i="19"/>
  <c r="F151" i="19"/>
  <c r="E150" i="19"/>
  <c r="G150" i="19"/>
  <c r="F150" i="19"/>
  <c r="H150" i="19" s="1"/>
  <c r="E247" i="19"/>
  <c r="G247" i="19"/>
  <c r="F247" i="19"/>
  <c r="E149" i="19"/>
  <c r="G149" i="19"/>
  <c r="E148" i="19"/>
  <c r="G148" i="19"/>
  <c r="E147" i="19"/>
  <c r="G147" i="19"/>
  <c r="I139" i="29"/>
  <c r="E146" i="19"/>
  <c r="G146" i="19"/>
  <c r="F146" i="19"/>
  <c r="E145" i="19"/>
  <c r="G145" i="19"/>
  <c r="E144" i="19"/>
  <c r="F144" i="19"/>
  <c r="E142" i="19"/>
  <c r="G142" i="19"/>
  <c r="F142" i="19"/>
  <c r="E141" i="19"/>
  <c r="G141" i="19"/>
  <c r="F141" i="19"/>
  <c r="E140" i="19"/>
  <c r="G140" i="19"/>
  <c r="E139" i="19"/>
  <c r="G139" i="19"/>
  <c r="E138" i="19"/>
  <c r="G138" i="19"/>
  <c r="F138" i="19"/>
  <c r="E137" i="19"/>
  <c r="G137" i="19"/>
  <c r="E136" i="19"/>
  <c r="G136" i="19"/>
  <c r="E135" i="19"/>
  <c r="F135" i="19"/>
  <c r="E134" i="19"/>
  <c r="G134" i="19"/>
  <c r="F134" i="19"/>
  <c r="E133" i="19"/>
  <c r="G133" i="19"/>
  <c r="F133" i="19"/>
  <c r="E132" i="19"/>
  <c r="G132" i="19"/>
  <c r="E131" i="19"/>
  <c r="G131" i="19"/>
  <c r="E130" i="19"/>
  <c r="G130" i="19"/>
  <c r="F130" i="19"/>
  <c r="E129" i="19"/>
  <c r="G129" i="19"/>
  <c r="I122" i="29"/>
  <c r="E128" i="19"/>
  <c r="G128" i="19"/>
  <c r="E127" i="19"/>
  <c r="F127" i="19"/>
  <c r="E126" i="19"/>
  <c r="G126" i="19"/>
  <c r="F126" i="19"/>
  <c r="E125" i="19"/>
  <c r="F125" i="19"/>
  <c r="E124" i="19"/>
  <c r="G124" i="19"/>
  <c r="E123" i="19"/>
  <c r="G123" i="19"/>
  <c r="E122" i="19"/>
  <c r="G122" i="19"/>
  <c r="F122" i="19"/>
  <c r="E120" i="19"/>
  <c r="G120" i="19"/>
  <c r="E119" i="19"/>
  <c r="G119" i="19"/>
  <c r="E118" i="19"/>
  <c r="F118" i="19"/>
  <c r="E117" i="19"/>
  <c r="G117" i="19"/>
  <c r="F117" i="19"/>
  <c r="H117" i="19" s="1"/>
  <c r="E116" i="19"/>
  <c r="G116" i="19"/>
  <c r="F116" i="19"/>
  <c r="E115" i="19"/>
  <c r="G115" i="19"/>
  <c r="E114" i="19"/>
  <c r="G114" i="19"/>
  <c r="E113" i="19"/>
  <c r="F113" i="19"/>
  <c r="E111" i="19"/>
  <c r="G111" i="19"/>
  <c r="E110" i="19"/>
  <c r="G110" i="19"/>
  <c r="E109" i="19"/>
  <c r="F109" i="19"/>
  <c r="E108" i="19"/>
  <c r="G108" i="19"/>
  <c r="F108" i="19"/>
  <c r="E107" i="19"/>
  <c r="I102" i="29"/>
  <c r="F107" i="19"/>
  <c r="E105" i="19"/>
  <c r="G105" i="19"/>
  <c r="F105" i="19"/>
  <c r="E104" i="19"/>
  <c r="G104" i="19"/>
  <c r="E103" i="19"/>
  <c r="F103" i="19"/>
  <c r="E102" i="19"/>
  <c r="G102" i="19"/>
  <c r="E101" i="19"/>
  <c r="G101" i="19"/>
  <c r="E100" i="19"/>
  <c r="F100" i="19"/>
  <c r="E99" i="19"/>
  <c r="F99" i="19"/>
  <c r="E97" i="19"/>
  <c r="I94" i="29"/>
  <c r="G97" i="19"/>
  <c r="F97" i="19"/>
  <c r="E96" i="19"/>
  <c r="G96" i="19"/>
  <c r="E95" i="19"/>
  <c r="G95" i="19"/>
  <c r="E94" i="19"/>
  <c r="I91" i="29"/>
  <c r="G94" i="19"/>
  <c r="F94" i="19"/>
  <c r="H94" i="19" s="1"/>
  <c r="E93" i="19"/>
  <c r="G93" i="19"/>
  <c r="E92" i="19"/>
  <c r="G92" i="19"/>
  <c r="F92" i="19"/>
  <c r="E91" i="19"/>
  <c r="F91" i="19"/>
  <c r="E90" i="19"/>
  <c r="G90" i="19"/>
  <c r="F90" i="19"/>
  <c r="E89" i="19"/>
  <c r="G89" i="19"/>
  <c r="F89" i="19"/>
  <c r="E87" i="19"/>
  <c r="G87" i="19"/>
  <c r="E86" i="19"/>
  <c r="G86" i="19"/>
  <c r="E85" i="19"/>
  <c r="G85" i="19"/>
  <c r="F85" i="19"/>
  <c r="E84" i="19"/>
  <c r="G84" i="19"/>
  <c r="E83" i="19"/>
  <c r="G83" i="19"/>
  <c r="F83" i="19"/>
  <c r="H83" i="19" s="1"/>
  <c r="E82" i="19"/>
  <c r="F82" i="19"/>
  <c r="E81" i="19"/>
  <c r="G81" i="19"/>
  <c r="F81" i="19"/>
  <c r="E80" i="19"/>
  <c r="G80" i="19"/>
  <c r="F80" i="19"/>
  <c r="E79" i="19"/>
  <c r="G79" i="19"/>
  <c r="E77" i="19"/>
  <c r="G77" i="19"/>
  <c r="E76" i="19"/>
  <c r="G76" i="19"/>
  <c r="F76" i="19"/>
  <c r="H76" i="19" s="1"/>
  <c r="E75" i="19"/>
  <c r="G75" i="19"/>
  <c r="F75" i="19"/>
  <c r="H75" i="19" s="1"/>
  <c r="E74" i="19"/>
  <c r="G74" i="19"/>
  <c r="E73" i="19"/>
  <c r="F73" i="19"/>
  <c r="E72" i="19"/>
  <c r="I71" i="29"/>
  <c r="G72" i="19"/>
  <c r="F72" i="19"/>
  <c r="E71" i="19"/>
  <c r="G71" i="19"/>
  <c r="E70" i="19"/>
  <c r="G70" i="19"/>
  <c r="E69" i="19"/>
  <c r="G69" i="19"/>
  <c r="E68" i="19"/>
  <c r="G68" i="19"/>
  <c r="E67" i="19"/>
  <c r="G67" i="19"/>
  <c r="E66" i="19"/>
  <c r="G66" i="19"/>
  <c r="E65" i="19"/>
  <c r="F65" i="19"/>
  <c r="E64" i="19"/>
  <c r="G64" i="19"/>
  <c r="E63" i="19"/>
  <c r="G63" i="19"/>
  <c r="F63" i="19"/>
  <c r="E62" i="19"/>
  <c r="G62" i="19"/>
  <c r="E61" i="19"/>
  <c r="G61" i="19"/>
  <c r="E60" i="19"/>
  <c r="G60" i="19"/>
  <c r="F60" i="19"/>
  <c r="H60" i="19" s="1"/>
  <c r="E59" i="19"/>
  <c r="G59" i="19"/>
  <c r="E58" i="19"/>
  <c r="G58" i="19"/>
  <c r="E57" i="19"/>
  <c r="F57" i="19"/>
  <c r="E56" i="19"/>
  <c r="G56" i="19"/>
  <c r="E55" i="19"/>
  <c r="G55" i="19"/>
  <c r="F55" i="19"/>
  <c r="E54" i="19"/>
  <c r="G54" i="19"/>
  <c r="E53" i="19"/>
  <c r="G53" i="19"/>
  <c r="E52" i="19"/>
  <c r="G52" i="19"/>
  <c r="F52" i="19"/>
  <c r="E51" i="19"/>
  <c r="G51" i="19"/>
  <c r="E50" i="19"/>
  <c r="G50" i="19"/>
  <c r="E49" i="19"/>
  <c r="F49" i="19"/>
  <c r="E48" i="19"/>
  <c r="G48" i="19"/>
  <c r="F48" i="19"/>
  <c r="E47" i="19"/>
  <c r="F47" i="19"/>
  <c r="E46" i="19"/>
  <c r="G46" i="19"/>
  <c r="E45" i="19"/>
  <c r="G45" i="19"/>
  <c r="E44" i="19"/>
  <c r="F44" i="19"/>
  <c r="E43" i="19"/>
  <c r="G43" i="19"/>
  <c r="G42" i="19"/>
  <c r="E41" i="19"/>
  <c r="F41" i="19"/>
  <c r="E40" i="19"/>
  <c r="G40" i="19"/>
  <c r="F40" i="19"/>
  <c r="E39" i="19"/>
  <c r="G39" i="19"/>
  <c r="E38" i="19"/>
  <c r="G38" i="19"/>
  <c r="F38" i="19"/>
  <c r="H38" i="19" s="1"/>
  <c r="E37" i="19"/>
  <c r="G37" i="19"/>
  <c r="E36" i="19"/>
  <c r="G36" i="19"/>
  <c r="F36" i="19"/>
  <c r="E35" i="19"/>
  <c r="G35" i="19"/>
  <c r="E34" i="19"/>
  <c r="G34" i="19"/>
  <c r="E33" i="19"/>
  <c r="F33" i="19"/>
  <c r="E32" i="19"/>
  <c r="F32" i="19"/>
  <c r="E31" i="19"/>
  <c r="G31" i="19"/>
  <c r="F31" i="19"/>
  <c r="H31" i="19" s="1"/>
  <c r="E30" i="19"/>
  <c r="G30" i="19"/>
  <c r="I29" i="29"/>
  <c r="E29" i="19"/>
  <c r="G29" i="19"/>
  <c r="E28" i="19"/>
  <c r="G28" i="19"/>
  <c r="F28" i="19"/>
  <c r="E27" i="19"/>
  <c r="G27" i="19"/>
  <c r="E26" i="19"/>
  <c r="G26" i="19"/>
  <c r="E25" i="19"/>
  <c r="E24" i="19"/>
  <c r="G24" i="19"/>
  <c r="F24" i="19"/>
  <c r="E23" i="19"/>
  <c r="G23" i="19"/>
  <c r="F23" i="19"/>
  <c r="E22" i="19"/>
  <c r="G22" i="19"/>
  <c r="E21" i="19"/>
  <c r="G21" i="19"/>
  <c r="E20" i="19"/>
  <c r="G20" i="19"/>
  <c r="F20" i="19"/>
  <c r="E19" i="19"/>
  <c r="G19" i="19"/>
  <c r="E18" i="19"/>
  <c r="G18" i="19"/>
  <c r="E17" i="19"/>
  <c r="F17" i="19"/>
  <c r="E16" i="19"/>
  <c r="I15" i="29"/>
  <c r="G16" i="19"/>
  <c r="F16" i="19"/>
  <c r="H16" i="19" s="1"/>
  <c r="E15" i="19"/>
  <c r="G15" i="19"/>
  <c r="F15" i="19"/>
  <c r="E14" i="19"/>
  <c r="G14" i="19"/>
  <c r="E13" i="19"/>
  <c r="G13" i="19"/>
  <c r="E12" i="19"/>
  <c r="G12" i="19"/>
  <c r="F12" i="19"/>
  <c r="E11" i="19"/>
  <c r="G11" i="19"/>
  <c r="E10" i="19"/>
  <c r="G10" i="19"/>
  <c r="E9" i="19"/>
  <c r="F9" i="19"/>
  <c r="G8" i="19"/>
  <c r="F8" i="19"/>
  <c r="H8" i="19" s="1"/>
  <c r="E7" i="19"/>
  <c r="G7" i="19"/>
  <c r="E6" i="19"/>
  <c r="G6" i="19"/>
  <c r="I24" i="18" l="1"/>
  <c r="H174" i="19"/>
  <c r="H78" i="19"/>
  <c r="H63" i="19"/>
  <c r="H247" i="19"/>
  <c r="H15" i="19"/>
  <c r="H166" i="19"/>
  <c r="H210" i="19"/>
  <c r="H202" i="19"/>
  <c r="F252" i="19"/>
  <c r="H40" i="19"/>
  <c r="I243" i="29"/>
  <c r="I22" i="29"/>
  <c r="H182" i="19"/>
  <c r="H219" i="19"/>
  <c r="I38" i="29"/>
  <c r="I63" i="29"/>
  <c r="I83" i="29"/>
  <c r="I86" i="29"/>
  <c r="I253" i="29"/>
  <c r="F225" i="19"/>
  <c r="I19" i="29"/>
  <c r="I7" i="29"/>
  <c r="I27" i="29"/>
  <c r="I30" i="29"/>
  <c r="H72" i="19"/>
  <c r="I85" i="29"/>
  <c r="I121" i="29"/>
  <c r="H134" i="19"/>
  <c r="H146" i="19"/>
  <c r="I147" i="29"/>
  <c r="I150" i="29"/>
  <c r="I180" i="29"/>
  <c r="H227" i="19"/>
  <c r="I231" i="29"/>
  <c r="H248" i="19"/>
  <c r="E3" i="29"/>
  <c r="I211" i="29"/>
  <c r="I214" i="29"/>
  <c r="H226" i="19"/>
  <c r="G107" i="19"/>
  <c r="H107" i="19" s="1"/>
  <c r="I79" i="29"/>
  <c r="I99" i="29"/>
  <c r="I118" i="29"/>
  <c r="I135" i="29"/>
  <c r="I155" i="29"/>
  <c r="I158" i="29"/>
  <c r="H181" i="19"/>
  <c r="I241" i="29"/>
  <c r="I249" i="29"/>
  <c r="I252" i="29"/>
  <c r="I255" i="29"/>
  <c r="F222" i="19"/>
  <c r="F203" i="19"/>
  <c r="H203" i="19" s="1"/>
  <c r="G103" i="19"/>
  <c r="H103" i="19" s="1"/>
  <c r="H138" i="19"/>
  <c r="I17" i="29"/>
  <c r="I81" i="29"/>
  <c r="H90" i="19"/>
  <c r="H105" i="19"/>
  <c r="I143" i="29"/>
  <c r="I157" i="29"/>
  <c r="H194" i="19"/>
  <c r="I199" i="29"/>
  <c r="I216" i="29"/>
  <c r="I219" i="29"/>
  <c r="I222" i="29"/>
  <c r="I227" i="29"/>
  <c r="H223" i="19"/>
  <c r="H238" i="19"/>
  <c r="G113" i="19"/>
  <c r="I107" i="29"/>
  <c r="I58" i="29"/>
  <c r="F59" i="19"/>
  <c r="H59" i="19" s="1"/>
  <c r="F7" i="19"/>
  <c r="H7" i="19" s="1"/>
  <c r="I6" i="29"/>
  <c r="G44" i="19"/>
  <c r="I43" i="29"/>
  <c r="F68" i="19"/>
  <c r="H68" i="19" s="1"/>
  <c r="I67" i="29"/>
  <c r="I61" i="29"/>
  <c r="F62" i="19"/>
  <c r="H62" i="19" s="1"/>
  <c r="H17" i="19"/>
  <c r="G32" i="19"/>
  <c r="I31" i="29"/>
  <c r="F56" i="19"/>
  <c r="I55" i="29"/>
  <c r="H92" i="19"/>
  <c r="G99" i="19"/>
  <c r="H99" i="19" s="1"/>
  <c r="I95" i="29"/>
  <c r="F71" i="19"/>
  <c r="H71" i="19" s="1"/>
  <c r="I70" i="29"/>
  <c r="I16" i="29"/>
  <c r="G17" i="19"/>
  <c r="I52" i="29"/>
  <c r="F53" i="19"/>
  <c r="H53" i="19" s="1"/>
  <c r="I49" i="29"/>
  <c r="F50" i="19"/>
  <c r="H50" i="19" s="1"/>
  <c r="I80" i="29"/>
  <c r="G82" i="19"/>
  <c r="H82" i="19" s="1"/>
  <c r="H44" i="19"/>
  <c r="G47" i="19"/>
  <c r="I46" i="29"/>
  <c r="H239" i="19"/>
  <c r="H204" i="19"/>
  <c r="I208" i="29"/>
  <c r="G213" i="19"/>
  <c r="H213" i="19" s="1"/>
  <c r="I226" i="29"/>
  <c r="G112" i="19"/>
  <c r="H228" i="19"/>
  <c r="H222" i="19"/>
  <c r="F187" i="19"/>
  <c r="H187" i="19" s="1"/>
  <c r="H169" i="19"/>
  <c r="F128" i="19"/>
  <c r="H128" i="19" s="1"/>
  <c r="I9" i="29"/>
  <c r="I12" i="29"/>
  <c r="F13" i="19"/>
  <c r="H13" i="19" s="1"/>
  <c r="I21" i="29"/>
  <c r="F22" i="19"/>
  <c r="H22" i="19" s="1"/>
  <c r="H28" i="19"/>
  <c r="I82" i="29"/>
  <c r="F84" i="19"/>
  <c r="H84" i="19" s="1"/>
  <c r="I104" i="29"/>
  <c r="G109" i="19"/>
  <c r="I110" i="29"/>
  <c r="I137" i="29"/>
  <c r="F145" i="19"/>
  <c r="H145" i="19" s="1"/>
  <c r="I149" i="29"/>
  <c r="H162" i="19"/>
  <c r="I159" i="29"/>
  <c r="I168" i="29"/>
  <c r="G175" i="19"/>
  <c r="H175" i="19" s="1"/>
  <c r="I174" i="29"/>
  <c r="H201" i="19"/>
  <c r="I201" i="29"/>
  <c r="I204" i="29"/>
  <c r="F209" i="19"/>
  <c r="H209" i="19" s="1"/>
  <c r="H212" i="19"/>
  <c r="I210" i="29"/>
  <c r="I213" i="29"/>
  <c r="I223" i="29"/>
  <c r="I235" i="29"/>
  <c r="I238" i="29"/>
  <c r="I250" i="29"/>
  <c r="I256" i="29"/>
  <c r="F257" i="19"/>
  <c r="H257" i="19" s="1"/>
  <c r="H249" i="19"/>
  <c r="G246" i="19"/>
  <c r="H246" i="19" s="1"/>
  <c r="F241" i="19"/>
  <c r="H241" i="19" s="1"/>
  <c r="F233" i="19"/>
  <c r="H233" i="19" s="1"/>
  <c r="F218" i="19"/>
  <c r="H218" i="19" s="1"/>
  <c r="G191" i="19"/>
  <c r="H191" i="19" s="1"/>
  <c r="F147" i="19"/>
  <c r="H147" i="19" s="1"/>
  <c r="I177" i="29"/>
  <c r="F184" i="19"/>
  <c r="H184" i="19" s="1"/>
  <c r="I186" i="29"/>
  <c r="F193" i="19"/>
  <c r="H193" i="19" s="1"/>
  <c r="H252" i="19"/>
  <c r="F244" i="19"/>
  <c r="H244" i="19" s="1"/>
  <c r="H236" i="19"/>
  <c r="H56" i="19"/>
  <c r="H3" i="29"/>
  <c r="I18" i="29"/>
  <c r="F19" i="19"/>
  <c r="H19" i="19" s="1"/>
  <c r="I40" i="29"/>
  <c r="G41" i="19"/>
  <c r="H41" i="19" s="1"/>
  <c r="I73" i="29"/>
  <c r="F74" i="19"/>
  <c r="H74" i="19" s="1"/>
  <c r="I76" i="29"/>
  <c r="F77" i="19"/>
  <c r="H77" i="19" s="1"/>
  <c r="I140" i="29"/>
  <c r="F148" i="19"/>
  <c r="H148" i="19" s="1"/>
  <c r="I146" i="29"/>
  <c r="F153" i="19"/>
  <c r="H153" i="19" s="1"/>
  <c r="I171" i="29"/>
  <c r="I33" i="29"/>
  <c r="F34" i="19"/>
  <c r="H34" i="19" s="1"/>
  <c r="I36" i="29"/>
  <c r="F37" i="19"/>
  <c r="H37" i="19" s="1"/>
  <c r="I42" i="29"/>
  <c r="I45" i="29"/>
  <c r="F46" i="19"/>
  <c r="H46" i="19" s="1"/>
  <c r="I64" i="29"/>
  <c r="G65" i="19"/>
  <c r="I97" i="29"/>
  <c r="I100" i="29"/>
  <c r="F104" i="19"/>
  <c r="H108" i="19"/>
  <c r="I106" i="29"/>
  <c r="I109" i="29"/>
  <c r="F115" i="19"/>
  <c r="H115" i="19" s="1"/>
  <c r="H122" i="19"/>
  <c r="I119" i="29"/>
  <c r="I128" i="29"/>
  <c r="G135" i="19"/>
  <c r="I131" i="29"/>
  <c r="I134" i="29"/>
  <c r="I161" i="29"/>
  <c r="F168" i="19"/>
  <c r="H168" i="19" s="1"/>
  <c r="I164" i="29"/>
  <c r="F171" i="19"/>
  <c r="H171" i="19" s="1"/>
  <c r="I170" i="29"/>
  <c r="F177" i="19"/>
  <c r="H177" i="19" s="1"/>
  <c r="I173" i="29"/>
  <c r="F180" i="19"/>
  <c r="H180" i="19" s="1"/>
  <c r="H186" i="19"/>
  <c r="H189" i="19"/>
  <c r="I183" i="29"/>
  <c r="I192" i="29"/>
  <c r="G198" i="19"/>
  <c r="H198" i="19" s="1"/>
  <c r="I195" i="29"/>
  <c r="I198" i="29"/>
  <c r="I225" i="29"/>
  <c r="I228" i="29"/>
  <c r="I237" i="29"/>
  <c r="F143" i="19"/>
  <c r="H143" i="19" s="1"/>
  <c r="I247" i="29"/>
  <c r="F6" i="19"/>
  <c r="H6" i="19" s="1"/>
  <c r="F254" i="19"/>
  <c r="H254" i="19" s="1"/>
  <c r="G251" i="19"/>
  <c r="H251" i="19" s="1"/>
  <c r="G243" i="19"/>
  <c r="H243" i="19" s="1"/>
  <c r="G235" i="19"/>
  <c r="H235" i="19" s="1"/>
  <c r="F230" i="19"/>
  <c r="H230" i="19" s="1"/>
  <c r="F207" i="19"/>
  <c r="H207" i="19" s="1"/>
  <c r="F156" i="19"/>
  <c r="H156" i="19" s="1"/>
  <c r="G125" i="19"/>
  <c r="F64" i="19"/>
  <c r="H64" i="19" s="1"/>
  <c r="F43" i="19"/>
  <c r="H43" i="19" s="1"/>
  <c r="I116" i="29"/>
  <c r="F123" i="19"/>
  <c r="H123" i="19" s="1"/>
  <c r="I144" i="29"/>
  <c r="G151" i="19"/>
  <c r="H151" i="19" s="1"/>
  <c r="H221" i="19"/>
  <c r="I69" i="29"/>
  <c r="F70" i="19"/>
  <c r="H70" i="19" s="1"/>
  <c r="H104" i="19"/>
  <c r="I152" i="29"/>
  <c r="G159" i="19"/>
  <c r="H159" i="19" s="1"/>
  <c r="I194" i="29"/>
  <c r="F200" i="19"/>
  <c r="H200" i="19" s="1"/>
  <c r="G232" i="19"/>
  <c r="H232" i="19" s="1"/>
  <c r="F3" i="29"/>
  <c r="H36" i="19"/>
  <c r="I39" i="29"/>
  <c r="I48" i="29"/>
  <c r="I84" i="29"/>
  <c r="F86" i="19"/>
  <c r="H86" i="19" s="1"/>
  <c r="I90" i="29"/>
  <c r="I93" i="29"/>
  <c r="F96" i="19"/>
  <c r="H96" i="19" s="1"/>
  <c r="I103" i="29"/>
  <c r="I112" i="29"/>
  <c r="G118" i="19"/>
  <c r="H118" i="19" s="1"/>
  <c r="I115" i="29"/>
  <c r="H144" i="19"/>
  <c r="I148" i="29"/>
  <c r="F155" i="19"/>
  <c r="H155" i="19" s="1"/>
  <c r="I154" i="29"/>
  <c r="F161" i="19"/>
  <c r="I167" i="29"/>
  <c r="I176" i="29"/>
  <c r="G183" i="19"/>
  <c r="H183" i="19" s="1"/>
  <c r="I179" i="29"/>
  <c r="I182" i="29"/>
  <c r="I212" i="29"/>
  <c r="F217" i="19"/>
  <c r="H217" i="19" s="1"/>
  <c r="H121" i="19"/>
  <c r="F256" i="19"/>
  <c r="H256" i="19" s="1"/>
  <c r="F240" i="19"/>
  <c r="H240" i="19" s="1"/>
  <c r="G220" i="19"/>
  <c r="H220" i="19" s="1"/>
  <c r="F211" i="19"/>
  <c r="H211" i="19" s="1"/>
  <c r="F195" i="19"/>
  <c r="H195" i="19" s="1"/>
  <c r="F164" i="19"/>
  <c r="H164" i="19" s="1"/>
  <c r="F51" i="19"/>
  <c r="H51" i="19" s="1"/>
  <c r="F30" i="19"/>
  <c r="F10" i="19"/>
  <c r="H10" i="19" s="1"/>
  <c r="I57" i="29"/>
  <c r="F58" i="19"/>
  <c r="H58" i="19" s="1"/>
  <c r="I66" i="29"/>
  <c r="F67" i="19"/>
  <c r="H67" i="19" s="1"/>
  <c r="I124" i="29"/>
  <c r="F131" i="19"/>
  <c r="H131" i="19" s="1"/>
  <c r="I185" i="29"/>
  <c r="F192" i="19"/>
  <c r="H192" i="19" s="1"/>
  <c r="H208" i="19"/>
  <c r="H52" i="19"/>
  <c r="I26" i="29"/>
  <c r="F27" i="19"/>
  <c r="H27" i="19" s="1"/>
  <c r="I14" i="29"/>
  <c r="H30" i="19"/>
  <c r="I41" i="29"/>
  <c r="F42" i="19"/>
  <c r="H42" i="19" s="1"/>
  <c r="I44" i="29"/>
  <c r="F45" i="19"/>
  <c r="H45" i="19" s="1"/>
  <c r="H48" i="19"/>
  <c r="I50" i="29"/>
  <c r="I53" i="29"/>
  <c r="F54" i="19"/>
  <c r="H54" i="19" s="1"/>
  <c r="I72" i="29"/>
  <c r="G73" i="19"/>
  <c r="H73" i="19" s="1"/>
  <c r="I75" i="29"/>
  <c r="I78" i="29"/>
  <c r="I105" i="29"/>
  <c r="I108" i="29"/>
  <c r="F114" i="19"/>
  <c r="H114" i="19" s="1"/>
  <c r="I114" i="29"/>
  <c r="F120" i="19"/>
  <c r="H120" i="19" s="1"/>
  <c r="I117" i="29"/>
  <c r="F124" i="19"/>
  <c r="H124" i="19" s="1"/>
  <c r="H130" i="19"/>
  <c r="H133" i="19"/>
  <c r="I127" i="29"/>
  <c r="I136" i="29"/>
  <c r="I142" i="29"/>
  <c r="I169" i="29"/>
  <c r="F176" i="19"/>
  <c r="H176" i="19" s="1"/>
  <c r="I172" i="29"/>
  <c r="F179" i="19"/>
  <c r="H179" i="19" s="1"/>
  <c r="I178" i="29"/>
  <c r="F185" i="19"/>
  <c r="H185" i="19" s="1"/>
  <c r="I181" i="29"/>
  <c r="F188" i="19"/>
  <c r="H188" i="19" s="1"/>
  <c r="I191" i="29"/>
  <c r="I200" i="29"/>
  <c r="G206" i="19"/>
  <c r="I203" i="29"/>
  <c r="H225" i="19"/>
  <c r="I224" i="29"/>
  <c r="I233" i="29"/>
  <c r="I236" i="29"/>
  <c r="I245" i="29"/>
  <c r="F253" i="19"/>
  <c r="H253" i="19" s="1"/>
  <c r="F245" i="19"/>
  <c r="H245" i="19" s="1"/>
  <c r="G242" i="19"/>
  <c r="H242" i="19" s="1"/>
  <c r="F237" i="19"/>
  <c r="H237" i="19" s="1"/>
  <c r="F229" i="19"/>
  <c r="H229" i="19" s="1"/>
  <c r="F152" i="19"/>
  <c r="H152" i="19" s="1"/>
  <c r="F111" i="19"/>
  <c r="H111" i="19" s="1"/>
  <c r="F101" i="19"/>
  <c r="H101" i="19" s="1"/>
  <c r="G49" i="19"/>
  <c r="F39" i="19"/>
  <c r="F18" i="19"/>
  <c r="H18" i="19" s="1"/>
  <c r="H126" i="19"/>
  <c r="I189" i="29"/>
  <c r="F196" i="19"/>
  <c r="H196" i="19" s="1"/>
  <c r="I24" i="29"/>
  <c r="G25" i="19"/>
  <c r="H25" i="19" s="1"/>
  <c r="H80" i="19"/>
  <c r="I88" i="29"/>
  <c r="G91" i="19"/>
  <c r="H91" i="19" s="1"/>
  <c r="I130" i="29"/>
  <c r="F137" i="19"/>
  <c r="H137" i="19" s="1"/>
  <c r="I20" i="29"/>
  <c r="F21" i="19"/>
  <c r="H21" i="19" s="1"/>
  <c r="I51" i="29"/>
  <c r="I54" i="29"/>
  <c r="I8" i="29"/>
  <c r="G9" i="19"/>
  <c r="H9" i="19" s="1"/>
  <c r="I11" i="29"/>
  <c r="H24" i="19"/>
  <c r="I10" i="29"/>
  <c r="F11" i="19"/>
  <c r="H11" i="19" s="1"/>
  <c r="I13" i="29"/>
  <c r="F14" i="19"/>
  <c r="H14" i="19" s="1"/>
  <c r="H20" i="19"/>
  <c r="I23" i="29"/>
  <c r="I32" i="29"/>
  <c r="G33" i="19"/>
  <c r="H33" i="19" s="1"/>
  <c r="I35" i="29"/>
  <c r="I65" i="29"/>
  <c r="F66" i="19"/>
  <c r="H66" i="19" s="1"/>
  <c r="I68" i="29"/>
  <c r="F69" i="19"/>
  <c r="H69" i="19" s="1"/>
  <c r="I74" i="29"/>
  <c r="I77" i="29"/>
  <c r="F79" i="19"/>
  <c r="H79" i="19" s="1"/>
  <c r="H85" i="19"/>
  <c r="H89" i="19"/>
  <c r="I87" i="29"/>
  <c r="I96" i="29"/>
  <c r="G100" i="19"/>
  <c r="H100" i="19" s="1"/>
  <c r="I129" i="29"/>
  <c r="F136" i="19"/>
  <c r="I132" i="29"/>
  <c r="H142" i="19"/>
  <c r="I138" i="29"/>
  <c r="I141" i="29"/>
  <c r="F149" i="19"/>
  <c r="H149" i="19" s="1"/>
  <c r="I151" i="29"/>
  <c r="I160" i="29"/>
  <c r="I163" i="29"/>
  <c r="I166" i="29"/>
  <c r="I193" i="29"/>
  <c r="I196" i="29"/>
  <c r="I202" i="29"/>
  <c r="I205" i="29"/>
  <c r="H216" i="19"/>
  <c r="H98" i="19"/>
  <c r="I215" i="29"/>
  <c r="I230" i="29"/>
  <c r="I242" i="29"/>
  <c r="I248" i="29"/>
  <c r="I257" i="29"/>
  <c r="F258" i="19"/>
  <c r="H258" i="19" s="1"/>
  <c r="F250" i="19"/>
  <c r="H250" i="19" s="1"/>
  <c r="F234" i="19"/>
  <c r="H234" i="19" s="1"/>
  <c r="F215" i="19"/>
  <c r="H215" i="19" s="1"/>
  <c r="F199" i="19"/>
  <c r="H199" i="19" s="1"/>
  <c r="F110" i="19"/>
  <c r="H110" i="19" s="1"/>
  <c r="E8" i="19"/>
  <c r="I113" i="29"/>
  <c r="F119" i="19"/>
  <c r="H119" i="19" s="1"/>
  <c r="I125" i="29"/>
  <c r="F132" i="19"/>
  <c r="H132" i="19" s="1"/>
  <c r="H12" i="19"/>
  <c r="I60" i="29"/>
  <c r="F61" i="19"/>
  <c r="I133" i="29"/>
  <c r="F140" i="19"/>
  <c r="H140" i="19" s="1"/>
  <c r="H224" i="19"/>
  <c r="H206" i="19"/>
  <c r="I25" i="29"/>
  <c r="I28" i="29"/>
  <c r="F29" i="19"/>
  <c r="H29" i="19" s="1"/>
  <c r="H32" i="19"/>
  <c r="I34" i="29"/>
  <c r="F35" i="19"/>
  <c r="H35" i="19" s="1"/>
  <c r="I37" i="29"/>
  <c r="H47" i="19"/>
  <c r="I47" i="29"/>
  <c r="I56" i="29"/>
  <c r="I59" i="29"/>
  <c r="I62" i="29"/>
  <c r="I89" i="29"/>
  <c r="I92" i="29"/>
  <c r="F95" i="19"/>
  <c r="H95" i="19" s="1"/>
  <c r="I98" i="29"/>
  <c r="F102" i="19"/>
  <c r="H102" i="19" s="1"/>
  <c r="I101" i="29"/>
  <c r="H116" i="19"/>
  <c r="I111" i="29"/>
  <c r="I120" i="29"/>
  <c r="G127" i="19"/>
  <c r="H127" i="19" s="1"/>
  <c r="I123" i="29"/>
  <c r="I126" i="29"/>
  <c r="H136" i="19"/>
  <c r="I153" i="29"/>
  <c r="F160" i="19"/>
  <c r="H160" i="19" s="1"/>
  <c r="I156" i="29"/>
  <c r="F163" i="19"/>
  <c r="H163" i="19" s="1"/>
  <c r="I162" i="29"/>
  <c r="I165" i="29"/>
  <c r="F172" i="19"/>
  <c r="H172" i="19" s="1"/>
  <c r="H178" i="19"/>
  <c r="I175" i="29"/>
  <c r="I184" i="29"/>
  <c r="I187" i="29"/>
  <c r="I190" i="29"/>
  <c r="I217" i="29"/>
  <c r="I220" i="29"/>
  <c r="H112" i="19"/>
  <c r="I229" i="29"/>
  <c r="I239" i="29"/>
  <c r="I251" i="29"/>
  <c r="I254" i="29"/>
  <c r="H255" i="19"/>
  <c r="F231" i="19"/>
  <c r="H231" i="19" s="1"/>
  <c r="F214" i="19"/>
  <c r="H214" i="19" s="1"/>
  <c r="F139" i="19"/>
  <c r="H139" i="19" s="1"/>
  <c r="F129" i="19"/>
  <c r="H129" i="19" s="1"/>
  <c r="F88" i="19"/>
  <c r="H88" i="19" s="1"/>
  <c r="G57" i="19"/>
  <c r="H57" i="19" s="1"/>
  <c r="F26" i="19"/>
  <c r="H26" i="19" s="1"/>
  <c r="H173" i="19"/>
  <c r="H157" i="19"/>
  <c r="H141" i="19"/>
  <c r="H125" i="19"/>
  <c r="H109" i="19"/>
  <c r="H93" i="19"/>
  <c r="H61" i="19"/>
  <c r="H161" i="19"/>
  <c r="H113" i="19"/>
  <c r="H97" i="19"/>
  <c r="H81" i="19"/>
  <c r="H65" i="19"/>
  <c r="H49" i="19"/>
  <c r="H167" i="19"/>
  <c r="H135" i="19"/>
  <c r="H87" i="19"/>
  <c r="H55" i="19"/>
  <c r="H39" i="19"/>
  <c r="H23" i="19"/>
  <c r="I5" i="29"/>
  <c r="G3" i="29" l="1"/>
  <c r="I3" i="29" s="1"/>
  <c r="I2" i="29" a="1"/>
  <c r="I2" i="29" s="1"/>
  <c r="I1" i="29" a="1"/>
  <c r="I1" i="29" s="1"/>
  <c r="I255" i="19" l="1"/>
  <c r="I256" i="19"/>
  <c r="I257" i="19"/>
  <c r="I258" i="19"/>
  <c r="L255" i="19" l="1"/>
  <c r="L256" i="19"/>
  <c r="L258" i="19"/>
  <c r="L257" i="19"/>
  <c r="Q29" i="18"/>
  <c r="E10" i="18"/>
  <c r="E11" i="18" s="1"/>
  <c r="Q277" i="18" l="1"/>
  <c r="Q278" i="18"/>
  <c r="E14" i="18"/>
  <c r="E16" i="18"/>
  <c r="E15" i="18"/>
  <c r="Q276" i="18" l="1"/>
  <c r="Q275" i="18"/>
  <c r="E17" i="18"/>
  <c r="N24" i="18" l="1"/>
  <c r="K24" i="18"/>
  <c r="H24" i="18"/>
  <c r="E24" i="18"/>
  <c r="R4" i="19"/>
  <c r="Z19" i="18"/>
  <c r="U18" i="18"/>
  <c r="Z24" i="18"/>
  <c r="Q155" i="18" l="1"/>
  <c r="I99" i="19"/>
  <c r="L99" i="19" s="1"/>
  <c r="I200" i="19"/>
  <c r="I112" i="19"/>
  <c r="L112" i="19" s="1"/>
  <c r="I107" i="19"/>
  <c r="I26" i="19"/>
  <c r="L26" i="19" s="1"/>
  <c r="I13" i="19"/>
  <c r="I91" i="19"/>
  <c r="L91" i="19" s="1"/>
  <c r="I45" i="19"/>
  <c r="L45" i="19" s="1"/>
  <c r="I114" i="19"/>
  <c r="I106" i="19"/>
  <c r="L106" i="19" s="1"/>
  <c r="I98" i="19"/>
  <c r="L98" i="19" s="1"/>
  <c r="I38" i="19"/>
  <c r="L38" i="19" s="1"/>
  <c r="I20" i="19"/>
  <c r="L20" i="19" s="1"/>
  <c r="I9" i="19"/>
  <c r="L9" i="19" s="1"/>
  <c r="Q44" i="18"/>
  <c r="I29" i="19"/>
  <c r="L29" i="19" s="1"/>
  <c r="I16" i="19"/>
  <c r="Q63" i="18"/>
  <c r="I113" i="19"/>
  <c r="L113" i="19" s="1"/>
  <c r="I105" i="19"/>
  <c r="Q217" i="18"/>
  <c r="Q134" i="18"/>
  <c r="Q64" i="18"/>
  <c r="I232" i="19"/>
  <c r="Q35" i="18"/>
  <c r="I119" i="19"/>
  <c r="L119" i="19" s="1"/>
  <c r="I238" i="19"/>
  <c r="L238" i="19" s="1"/>
  <c r="I252" i="19"/>
  <c r="L252" i="19" s="1"/>
  <c r="I242" i="19"/>
  <c r="L242" i="19" s="1"/>
  <c r="I192" i="19"/>
  <c r="I174" i="19"/>
  <c r="L174" i="19" s="1"/>
  <c r="I27" i="19"/>
  <c r="L27" i="19" s="1"/>
  <c r="I110" i="19"/>
  <c r="L110" i="19" s="1"/>
  <c r="I142" i="19"/>
  <c r="L142" i="19" s="1"/>
  <c r="Q172" i="18"/>
  <c r="I165" i="19"/>
  <c r="L165" i="19" s="1"/>
  <c r="I147" i="19"/>
  <c r="I224" i="19"/>
  <c r="I151" i="19"/>
  <c r="L151" i="19" s="1"/>
  <c r="I35" i="19"/>
  <c r="L35" i="19" s="1"/>
  <c r="I108" i="19"/>
  <c r="Q59" i="18"/>
  <c r="I155" i="19"/>
  <c r="I129" i="19"/>
  <c r="I175" i="19"/>
  <c r="L175" i="19" s="1"/>
  <c r="I133" i="19"/>
  <c r="L133" i="19" s="1"/>
  <c r="Q31" i="18"/>
  <c r="I254" i="19"/>
  <c r="I250" i="19"/>
  <c r="L250" i="19" s="1"/>
  <c r="I245" i="19"/>
  <c r="L245" i="19" s="1"/>
  <c r="I195" i="19"/>
  <c r="I159" i="19"/>
  <c r="L159" i="19" s="1"/>
  <c r="I138" i="19"/>
  <c r="L138" i="19" s="1"/>
  <c r="I197" i="19"/>
  <c r="L197" i="19" s="1"/>
  <c r="I145" i="19"/>
  <c r="L145" i="19" s="1"/>
  <c r="I76" i="19"/>
  <c r="L76" i="19" s="1"/>
  <c r="I240" i="19"/>
  <c r="I204" i="19"/>
  <c r="I196" i="19"/>
  <c r="I190" i="19"/>
  <c r="L190" i="19" s="1"/>
  <c r="I150" i="19"/>
  <c r="L150" i="19" s="1"/>
  <c r="I109" i="19"/>
  <c r="I86" i="19"/>
  <c r="L86" i="19" s="1"/>
  <c r="I214" i="19"/>
  <c r="L214" i="19" s="1"/>
  <c r="I167" i="19"/>
  <c r="L167" i="19" s="1"/>
  <c r="I92" i="19"/>
  <c r="L92" i="19" s="1"/>
  <c r="I67" i="19"/>
  <c r="L67" i="19" s="1"/>
  <c r="I60" i="19"/>
  <c r="L60" i="19" s="1"/>
  <c r="I57" i="19"/>
  <c r="L57" i="19" s="1"/>
  <c r="I55" i="19"/>
  <c r="I36" i="19"/>
  <c r="I25" i="19"/>
  <c r="L25" i="19" s="1"/>
  <c r="I19" i="19"/>
  <c r="L19" i="19" s="1"/>
  <c r="I15" i="19"/>
  <c r="L15" i="19" s="1"/>
  <c r="Q55" i="18"/>
  <c r="I32" i="19"/>
  <c r="L32" i="19" s="1"/>
  <c r="I239" i="19"/>
  <c r="L239" i="19" s="1"/>
  <c r="I149" i="19"/>
  <c r="L149" i="19" s="1"/>
  <c r="I70" i="19"/>
  <c r="I61" i="19"/>
  <c r="I182" i="19"/>
  <c r="L182" i="19" s="1"/>
  <c r="I164" i="19"/>
  <c r="I116" i="19"/>
  <c r="L116" i="19" s="1"/>
  <c r="I68" i="19"/>
  <c r="L68" i="19" s="1"/>
  <c r="I47" i="19"/>
  <c r="L47" i="19" s="1"/>
  <c r="Q76" i="18"/>
  <c r="I146" i="19"/>
  <c r="L146" i="19" s="1"/>
  <c r="I178" i="19"/>
  <c r="L178" i="19" s="1"/>
  <c r="I223" i="19"/>
  <c r="L223" i="19" s="1"/>
  <c r="I233" i="19"/>
  <c r="L233" i="19" s="1"/>
  <c r="I231" i="19"/>
  <c r="L231" i="19" s="1"/>
  <c r="Q75" i="18"/>
  <c r="I243" i="19"/>
  <c r="I188" i="19"/>
  <c r="I156" i="19"/>
  <c r="I140" i="19"/>
  <c r="I134" i="19"/>
  <c r="I120" i="19"/>
  <c r="L120" i="19" s="1"/>
  <c r="I89" i="19"/>
  <c r="L89" i="19" s="1"/>
  <c r="I14" i="19"/>
  <c r="L14" i="19" s="1"/>
  <c r="I189" i="19"/>
  <c r="L189" i="19" s="1"/>
  <c r="I157" i="19"/>
  <c r="L157" i="19" s="1"/>
  <c r="I78" i="19"/>
  <c r="L78" i="19" s="1"/>
  <c r="I59" i="19"/>
  <c r="L59" i="19" s="1"/>
  <c r="I22" i="19"/>
  <c r="L22" i="19" s="1"/>
  <c r="Q139" i="18"/>
  <c r="I163" i="19"/>
  <c r="I40" i="19"/>
  <c r="L40" i="19" s="1"/>
  <c r="I212" i="19"/>
  <c r="I148" i="19"/>
  <c r="I205" i="19"/>
  <c r="L205" i="19" s="1"/>
  <c r="I97" i="19"/>
  <c r="I64" i="19"/>
  <c r="L64" i="19" s="1"/>
  <c r="I180" i="19"/>
  <c r="I215" i="19"/>
  <c r="I173" i="19"/>
  <c r="L173" i="19" s="1"/>
  <c r="I141" i="19"/>
  <c r="L141" i="19" s="1"/>
  <c r="Q105" i="18"/>
  <c r="I48" i="19"/>
  <c r="L48" i="19" s="1"/>
  <c r="I43" i="19"/>
  <c r="L43" i="19" s="1"/>
  <c r="I21" i="19"/>
  <c r="I11" i="19"/>
  <c r="L11" i="19" s="1"/>
  <c r="I248" i="19"/>
  <c r="L248" i="19" s="1"/>
  <c r="I213" i="19"/>
  <c r="L213" i="19" s="1"/>
  <c r="I210" i="19"/>
  <c r="L210" i="19" s="1"/>
  <c r="I81" i="19"/>
  <c r="L81" i="19" s="1"/>
  <c r="I51" i="19"/>
  <c r="L51" i="19" s="1"/>
  <c r="I230" i="19"/>
  <c r="L230" i="19" s="1"/>
  <c r="I198" i="19"/>
  <c r="L198" i="19" s="1"/>
  <c r="I77" i="19"/>
  <c r="L77" i="19" s="1"/>
  <c r="I251" i="19"/>
  <c r="L251" i="19" s="1"/>
  <c r="I234" i="19"/>
  <c r="L234" i="19" s="1"/>
  <c r="I202" i="19"/>
  <c r="L202" i="19" s="1"/>
  <c r="I170" i="19"/>
  <c r="L170" i="19" s="1"/>
  <c r="I153" i="19"/>
  <c r="L153" i="19" s="1"/>
  <c r="I73" i="19"/>
  <c r="L73" i="19" s="1"/>
  <c r="I46" i="19"/>
  <c r="L46" i="19" s="1"/>
  <c r="I34" i="19"/>
  <c r="L34" i="19" s="1"/>
  <c r="I136" i="19"/>
  <c r="L136" i="19" s="1"/>
  <c r="I123" i="19"/>
  <c r="L123" i="19" s="1"/>
  <c r="I87" i="19"/>
  <c r="L87" i="19" s="1"/>
  <c r="I28" i="19"/>
  <c r="L28" i="19" s="1"/>
  <c r="I152" i="19"/>
  <c r="I54" i="19"/>
  <c r="L54" i="19" s="1"/>
  <c r="I44" i="19"/>
  <c r="L44" i="19" s="1"/>
  <c r="I17" i="19"/>
  <c r="L17" i="19" s="1"/>
  <c r="I12" i="19"/>
  <c r="L12" i="19" s="1"/>
  <c r="Q89" i="18"/>
  <c r="I249" i="19"/>
  <c r="L249" i="19" s="1"/>
  <c r="I186" i="19"/>
  <c r="L186" i="19" s="1"/>
  <c r="I169" i="19"/>
  <c r="L169" i="19" s="1"/>
  <c r="I154" i="19"/>
  <c r="L154" i="19" s="1"/>
  <c r="I111" i="19"/>
  <c r="L111" i="19" s="1"/>
  <c r="I72" i="19"/>
  <c r="L72" i="19" s="1"/>
  <c r="I222" i="19"/>
  <c r="L222" i="19" s="1"/>
  <c r="I158" i="19"/>
  <c r="L158" i="19" s="1"/>
  <c r="I132" i="19"/>
  <c r="L132" i="19" s="1"/>
  <c r="I126" i="19"/>
  <c r="L126" i="19" s="1"/>
  <c r="I124" i="19"/>
  <c r="I117" i="19"/>
  <c r="L117" i="19" s="1"/>
  <c r="I101" i="19"/>
  <c r="L101" i="19" s="1"/>
  <c r="I88" i="19"/>
  <c r="L88" i="19" s="1"/>
  <c r="I41" i="19"/>
  <c r="L41" i="19" s="1"/>
  <c r="I226" i="19"/>
  <c r="L226" i="19" s="1"/>
  <c r="I194" i="19"/>
  <c r="L194" i="19" s="1"/>
  <c r="I162" i="19"/>
  <c r="L162" i="19" s="1"/>
  <c r="I135" i="19"/>
  <c r="L135" i="19" s="1"/>
  <c r="I130" i="19"/>
  <c r="L130" i="19" s="1"/>
  <c r="I102" i="19"/>
  <c r="L102" i="19" s="1"/>
  <c r="I53" i="19"/>
  <c r="L53" i="19" s="1"/>
  <c r="I33" i="19"/>
  <c r="L33" i="19" s="1"/>
  <c r="Q119" i="18"/>
  <c r="Q192" i="18"/>
  <c r="Q108" i="18"/>
  <c r="I193" i="19"/>
  <c r="I161" i="19"/>
  <c r="Q96" i="18"/>
  <c r="I201" i="19"/>
  <c r="L215" i="19"/>
  <c r="I127" i="19"/>
  <c r="I125" i="19"/>
  <c r="I118" i="19"/>
  <c r="I42" i="19"/>
  <c r="I96" i="19"/>
  <c r="I94" i="19"/>
  <c r="I62" i="19"/>
  <c r="I52" i="19"/>
  <c r="AC24" i="18"/>
  <c r="I121" i="19"/>
  <c r="I90" i="19"/>
  <c r="I79" i="19"/>
  <c r="I216" i="19"/>
  <c r="I208" i="19"/>
  <c r="I176" i="19"/>
  <c r="I144" i="19"/>
  <c r="L70" i="19"/>
  <c r="I236" i="19"/>
  <c r="I227" i="19"/>
  <c r="I219" i="19"/>
  <c r="I203" i="19"/>
  <c r="I171" i="19"/>
  <c r="I103" i="19"/>
  <c r="I95" i="19"/>
  <c r="I80" i="19"/>
  <c r="I71" i="19"/>
  <c r="L61" i="19"/>
  <c r="I122" i="19"/>
  <c r="I30" i="19"/>
  <c r="I18" i="19"/>
  <c r="I82" i="19"/>
  <c r="I63" i="19"/>
  <c r="I56" i="19"/>
  <c r="I50" i="19"/>
  <c r="I31" i="19"/>
  <c r="I24" i="19"/>
  <c r="I8" i="19"/>
  <c r="I65" i="19"/>
  <c r="I39" i="19"/>
  <c r="I66" i="19"/>
  <c r="I207" i="19" l="1"/>
  <c r="L207" i="19" s="1"/>
  <c r="I185" i="19"/>
  <c r="L185" i="19" s="1"/>
  <c r="I85" i="19"/>
  <c r="I183" i="19"/>
  <c r="L183" i="19" s="1"/>
  <c r="I10" i="19"/>
  <c r="L10" i="19" s="1"/>
  <c r="I244" i="19"/>
  <c r="L244" i="19" s="1"/>
  <c r="I23" i="19"/>
  <c r="L23" i="19" s="1"/>
  <c r="Q136" i="18"/>
  <c r="Q184" i="18"/>
  <c r="Q163" i="18"/>
  <c r="Q121" i="18"/>
  <c r="Q229" i="18"/>
  <c r="Q83" i="18"/>
  <c r="Q178" i="18"/>
  <c r="Q210" i="18"/>
  <c r="Q164" i="18"/>
  <c r="Q74" i="18"/>
  <c r="Q30" i="18"/>
  <c r="Q212" i="18"/>
  <c r="Q46" i="18"/>
  <c r="Q142" i="18"/>
  <c r="I179" i="19"/>
  <c r="L179" i="19" s="1"/>
  <c r="Q160" i="18"/>
  <c r="Q106" i="18"/>
  <c r="I209" i="19"/>
  <c r="L209" i="19" s="1"/>
  <c r="I241" i="19"/>
  <c r="L241" i="19" s="1"/>
  <c r="I187" i="19"/>
  <c r="L187" i="19" s="1"/>
  <c r="I168" i="19"/>
  <c r="L168" i="19" s="1"/>
  <c r="I69" i="19"/>
  <c r="L69" i="19" s="1"/>
  <c r="I128" i="19"/>
  <c r="L128" i="19" s="1"/>
  <c r="I58" i="19"/>
  <c r="L58" i="19" s="1"/>
  <c r="I199" i="19"/>
  <c r="L199" i="19" s="1"/>
  <c r="I206" i="19"/>
  <c r="L206" i="19" s="1"/>
  <c r="I228" i="19"/>
  <c r="L228" i="19" s="1"/>
  <c r="Q97" i="18"/>
  <c r="I137" i="19"/>
  <c r="L137" i="19" s="1"/>
  <c r="I184" i="19"/>
  <c r="L184" i="19" s="1"/>
  <c r="Q32" i="18"/>
  <c r="Q231" i="18"/>
  <c r="Q38" i="18"/>
  <c r="I160" i="19"/>
  <c r="L160" i="19" s="1"/>
  <c r="I93" i="19"/>
  <c r="L93" i="19" s="1"/>
  <c r="Q246" i="18"/>
  <c r="Q242" i="18"/>
  <c r="I83" i="19"/>
  <c r="L83" i="19" s="1"/>
  <c r="I104" i="19"/>
  <c r="L104" i="19" s="1"/>
  <c r="I166" i="19"/>
  <c r="L166" i="19" s="1"/>
  <c r="I131" i="19"/>
  <c r="L131" i="19" s="1"/>
  <c r="Q218" i="18"/>
  <c r="Q170" i="18"/>
  <c r="I115" i="19"/>
  <c r="L115" i="19" s="1"/>
  <c r="I253" i="19"/>
  <c r="L253" i="19" s="1"/>
  <c r="Q137" i="18"/>
  <c r="Q204" i="18"/>
  <c r="I75" i="19"/>
  <c r="L75" i="19" s="1"/>
  <c r="I229" i="19"/>
  <c r="L229" i="19" s="1"/>
  <c r="I218" i="19"/>
  <c r="L218" i="19" s="1"/>
  <c r="I177" i="19"/>
  <c r="L177" i="19" s="1"/>
  <c r="I100" i="19"/>
  <c r="L100" i="19" s="1"/>
  <c r="Q65" i="18"/>
  <c r="I217" i="19"/>
  <c r="L217" i="19" s="1"/>
  <c r="Q71" i="18"/>
  <c r="Q120" i="18"/>
  <c r="I225" i="19"/>
  <c r="L225" i="19" s="1"/>
  <c r="I49" i="19"/>
  <c r="L49" i="19" s="1"/>
  <c r="I221" i="19"/>
  <c r="L221" i="19" s="1"/>
  <c r="Q47" i="18"/>
  <c r="Q130" i="18"/>
  <c r="Q133" i="18"/>
  <c r="Q77" i="18"/>
  <c r="I84" i="19"/>
  <c r="I237" i="19"/>
  <c r="L237" i="19" s="1"/>
  <c r="Q70" i="18"/>
  <c r="I211" i="19"/>
  <c r="L211" i="19" s="1"/>
  <c r="Q95" i="18"/>
  <c r="Q56" i="18"/>
  <c r="I191" i="19"/>
  <c r="L191" i="19" s="1"/>
  <c r="I181" i="19"/>
  <c r="L181" i="19" s="1"/>
  <c r="I143" i="19"/>
  <c r="L143" i="19" s="1"/>
  <c r="Q123" i="18"/>
  <c r="I172" i="19"/>
  <c r="L172" i="19" s="1"/>
  <c r="Q273" i="18"/>
  <c r="Q265" i="18"/>
  <c r="Q252" i="18"/>
  <c r="T3" i="18" a="1"/>
  <c r="T3" i="18" s="1"/>
  <c r="Q188" i="18"/>
  <c r="Q156" i="18"/>
  <c r="Q201" i="18"/>
  <c r="F24" i="18"/>
  <c r="V238" i="18" s="1"/>
  <c r="I235" i="19"/>
  <c r="L235" i="19" s="1"/>
  <c r="Q144" i="18"/>
  <c r="Q107" i="18"/>
  <c r="I220" i="19"/>
  <c r="L220" i="19" s="1"/>
  <c r="Q226" i="18"/>
  <c r="Q51" i="18"/>
  <c r="Q27" i="18"/>
  <c r="Q150" i="18"/>
  <c r="Q66" i="18"/>
  <c r="Q250" i="18"/>
  <c r="Q86" i="18"/>
  <c r="Q102" i="18"/>
  <c r="Q28" i="18"/>
  <c r="Q124" i="18"/>
  <c r="Q93" i="18"/>
  <c r="Q186" i="18"/>
  <c r="Q165" i="18"/>
  <c r="Q26" i="18"/>
  <c r="Q36" i="18"/>
  <c r="Q116" i="18"/>
  <c r="Q211" i="18"/>
  <c r="T6" i="18" a="1"/>
  <c r="T6" i="18" s="1"/>
  <c r="Q48" i="18"/>
  <c r="E4" i="19"/>
  <c r="I37" i="19"/>
  <c r="L37" i="19" s="1"/>
  <c r="I139" i="19"/>
  <c r="L139" i="19" s="1"/>
  <c r="Q272" i="18"/>
  <c r="Q269" i="18"/>
  <c r="Q254" i="18"/>
  <c r="I74" i="19"/>
  <c r="L74" i="19" s="1"/>
  <c r="Q129" i="18"/>
  <c r="Q177" i="18"/>
  <c r="Q148" i="18"/>
  <c r="I247" i="19"/>
  <c r="L247" i="19" s="1"/>
  <c r="Q256" i="18"/>
  <c r="I246" i="19"/>
  <c r="L246" i="19" s="1"/>
  <c r="Q157" i="18"/>
  <c r="Q209" i="18"/>
  <c r="Q267" i="18"/>
  <c r="L121" i="19"/>
  <c r="L8" i="19"/>
  <c r="L140" i="19"/>
  <c r="L152" i="19"/>
  <c r="L16" i="19"/>
  <c r="I7" i="19"/>
  <c r="L50" i="19"/>
  <c r="G4" i="19"/>
  <c r="L56" i="19"/>
  <c r="L114" i="19"/>
  <c r="L122" i="19"/>
  <c r="L80" i="19"/>
  <c r="L155" i="19"/>
  <c r="L219" i="19"/>
  <c r="L144" i="19"/>
  <c r="L90" i="19"/>
  <c r="T4" i="18" a="1"/>
  <c r="T4" i="18" s="1"/>
  <c r="T8" i="18" a="1"/>
  <c r="T8" i="18" s="1"/>
  <c r="T11" i="18" a="1"/>
  <c r="T11" i="18" s="1"/>
  <c r="T7" i="18" a="1"/>
  <c r="T7" i="18" s="1"/>
  <c r="T9" i="18" a="1"/>
  <c r="T9" i="18" s="1"/>
  <c r="T5" i="18" a="1"/>
  <c r="T5" i="18" s="1"/>
  <c r="T10" i="18" a="1"/>
  <c r="T10" i="18" s="1"/>
  <c r="Q174" i="18"/>
  <c r="Q244" i="18"/>
  <c r="L118" i="19"/>
  <c r="L31" i="19"/>
  <c r="L147" i="19"/>
  <c r="L63" i="19"/>
  <c r="L18" i="19"/>
  <c r="L156" i="19"/>
  <c r="L188" i="19"/>
  <c r="L124" i="19"/>
  <c r="L224" i="19"/>
  <c r="L62" i="19"/>
  <c r="L107" i="19"/>
  <c r="Q45" i="18"/>
  <c r="Q126" i="18"/>
  <c r="L201" i="19"/>
  <c r="L193" i="19"/>
  <c r="V47" i="18"/>
  <c r="L36" i="19"/>
  <c r="L163" i="19"/>
  <c r="L195" i="19"/>
  <c r="L227" i="19"/>
  <c r="L200" i="19"/>
  <c r="L79" i="19"/>
  <c r="L108" i="19"/>
  <c r="L129" i="19"/>
  <c r="L125" i="19"/>
  <c r="L24" i="18"/>
  <c r="Q214" i="18"/>
  <c r="V189" i="18"/>
  <c r="L82" i="19"/>
  <c r="L13" i="19"/>
  <c r="L105" i="19"/>
  <c r="L232" i="19"/>
  <c r="Q100" i="18"/>
  <c r="Q53" i="18"/>
  <c r="V144" i="18"/>
  <c r="L66" i="19"/>
  <c r="L30" i="19"/>
  <c r="L39" i="19"/>
  <c r="L52" i="19"/>
  <c r="L95" i="19"/>
  <c r="L164" i="19"/>
  <c r="L196" i="19"/>
  <c r="L134" i="19"/>
  <c r="L240" i="19"/>
  <c r="L94" i="19"/>
  <c r="Q180" i="18"/>
  <c r="L204" i="19"/>
  <c r="L65" i="19"/>
  <c r="L71" i="19"/>
  <c r="F4" i="19"/>
  <c r="L171" i="19"/>
  <c r="L203" i="19"/>
  <c r="L176" i="19"/>
  <c r="L216" i="19"/>
  <c r="L243" i="19"/>
  <c r="L96" i="19"/>
  <c r="L42" i="19"/>
  <c r="L127" i="19"/>
  <c r="Q260" i="18"/>
  <c r="Q196" i="18"/>
  <c r="L55" i="19"/>
  <c r="L236" i="19"/>
  <c r="L192" i="19"/>
  <c r="L24" i="19"/>
  <c r="L103" i="19"/>
  <c r="L84" i="19"/>
  <c r="Q228" i="18"/>
  <c r="L85" i="19"/>
  <c r="L21" i="19"/>
  <c r="L97" i="19"/>
  <c r="L109" i="19"/>
  <c r="L148" i="19"/>
  <c r="L180" i="19"/>
  <c r="L212" i="19"/>
  <c r="L254" i="19"/>
  <c r="L208" i="19"/>
  <c r="Q118" i="18"/>
  <c r="V168" i="18"/>
  <c r="L161" i="19"/>
  <c r="Q103" i="18"/>
  <c r="V100" i="18" l="1"/>
  <c r="E19" i="18"/>
  <c r="F15" i="18" s="1"/>
  <c r="V275" i="18"/>
  <c r="V276" i="18"/>
  <c r="V277" i="18"/>
  <c r="V278" i="18"/>
  <c r="V259" i="18"/>
  <c r="Q220" i="18"/>
  <c r="Q270" i="18"/>
  <c r="Q158" i="18"/>
  <c r="Q114" i="18"/>
  <c r="V173" i="18"/>
  <c r="V125" i="18"/>
  <c r="V212" i="18"/>
  <c r="V30" i="18"/>
  <c r="V48" i="18"/>
  <c r="V36" i="18"/>
  <c r="V161" i="18"/>
  <c r="V145" i="18"/>
  <c r="V32" i="18"/>
  <c r="Q199" i="18"/>
  <c r="V227" i="18"/>
  <c r="V82" i="18"/>
  <c r="V139" i="18"/>
  <c r="V128" i="18"/>
  <c r="V137" i="18"/>
  <c r="Q131" i="18"/>
  <c r="Q237" i="18"/>
  <c r="Q191" i="18"/>
  <c r="Q271" i="18"/>
  <c r="Q78" i="18"/>
  <c r="Q125" i="18"/>
  <c r="Q72" i="18"/>
  <c r="Q182" i="18"/>
  <c r="Q239" i="18"/>
  <c r="Q61" i="18"/>
  <c r="Q207" i="18"/>
  <c r="Q81" i="18"/>
  <c r="Q49" i="18"/>
  <c r="Q92" i="18"/>
  <c r="Q33" i="18"/>
  <c r="Q37" i="18"/>
  <c r="Q146" i="18"/>
  <c r="V71" i="18"/>
  <c r="Q127" i="18"/>
  <c r="Q40" i="18"/>
  <c r="Q69" i="18"/>
  <c r="Q234" i="18"/>
  <c r="Q162" i="18"/>
  <c r="V231" i="18"/>
  <c r="V151" i="18"/>
  <c r="V76" i="18"/>
  <c r="V222" i="18"/>
  <c r="V66" i="18"/>
  <c r="V241" i="18"/>
  <c r="V62" i="18"/>
  <c r="V28" i="18"/>
  <c r="V38" i="18"/>
  <c r="V105" i="18"/>
  <c r="V83" i="18"/>
  <c r="V101" i="18"/>
  <c r="V272" i="18"/>
  <c r="V97" i="18"/>
  <c r="V75" i="18"/>
  <c r="V254" i="18"/>
  <c r="V186" i="18"/>
  <c r="V110" i="18"/>
  <c r="V266" i="18"/>
  <c r="V123" i="18"/>
  <c r="V69" i="18"/>
  <c r="V218" i="18"/>
  <c r="V191" i="18"/>
  <c r="V49" i="18"/>
  <c r="V262" i="18"/>
  <c r="V158" i="18"/>
  <c r="V162" i="18"/>
  <c r="V98" i="18"/>
  <c r="V253" i="18"/>
  <c r="V208" i="18"/>
  <c r="V202" i="18"/>
  <c r="V43" i="18"/>
  <c r="V156" i="18"/>
  <c r="V118" i="18"/>
  <c r="V248" i="18"/>
  <c r="V122" i="18"/>
  <c r="V39" i="18"/>
  <c r="V226" i="18"/>
  <c r="V206" i="18"/>
  <c r="V235" i="18"/>
  <c r="V273" i="18"/>
  <c r="V149" i="18"/>
  <c r="V252" i="18"/>
  <c r="V136" i="18"/>
  <c r="V138" i="18"/>
  <c r="V93" i="18"/>
  <c r="V148" i="18"/>
  <c r="V224" i="18"/>
  <c r="V242" i="18"/>
  <c r="V67" i="18"/>
  <c r="V35" i="18"/>
  <c r="V65" i="18"/>
  <c r="V140" i="18"/>
  <c r="V239" i="18"/>
  <c r="V178" i="18"/>
  <c r="V268" i="18"/>
  <c r="V263" i="18"/>
  <c r="V95" i="18"/>
  <c r="V232" i="18"/>
  <c r="V108" i="18"/>
  <c r="V258" i="18"/>
  <c r="V213" i="18"/>
  <c r="V169" i="18"/>
  <c r="V197" i="18"/>
  <c r="V211" i="18"/>
  <c r="V55" i="18"/>
  <c r="V40" i="18"/>
  <c r="V249" i="18"/>
  <c r="V153" i="18"/>
  <c r="V203" i="18"/>
  <c r="V73" i="18"/>
  <c r="V274" i="18"/>
  <c r="V59" i="18"/>
  <c r="V174" i="18"/>
  <c r="V170" i="18"/>
  <c r="V141" i="18"/>
  <c r="V182" i="18"/>
  <c r="V240" i="18"/>
  <c r="V198" i="18"/>
  <c r="V87" i="18"/>
  <c r="V185" i="18"/>
  <c r="V216" i="18"/>
  <c r="V269" i="18"/>
  <c r="V243" i="18"/>
  <c r="V188" i="18"/>
  <c r="V256" i="18"/>
  <c r="V60" i="18"/>
  <c r="V255" i="18"/>
  <c r="V33" i="18"/>
  <c r="V230" i="18"/>
  <c r="V183" i="18"/>
  <c r="V29" i="18"/>
  <c r="V85" i="18"/>
  <c r="V152" i="18"/>
  <c r="V130" i="18"/>
  <c r="V175" i="18"/>
  <c r="V265" i="18"/>
  <c r="V237" i="18"/>
  <c r="V214" i="18"/>
  <c r="V27" i="18"/>
  <c r="V77" i="18"/>
  <c r="V70" i="18"/>
  <c r="V57" i="18"/>
  <c r="V200" i="18"/>
  <c r="V221" i="18"/>
  <c r="V129" i="18"/>
  <c r="V115" i="18"/>
  <c r="V61" i="18"/>
  <c r="V192" i="18"/>
  <c r="V146" i="18"/>
  <c r="V215" i="18"/>
  <c r="V217" i="18"/>
  <c r="V119" i="18"/>
  <c r="V267" i="18"/>
  <c r="V247" i="18"/>
  <c r="V74" i="18"/>
  <c r="V111" i="18"/>
  <c r="V176" i="18"/>
  <c r="V181" i="18"/>
  <c r="V201" i="18"/>
  <c r="V167" i="18"/>
  <c r="V117" i="18"/>
  <c r="V193" i="18"/>
  <c r="V116" i="18"/>
  <c r="V120" i="18"/>
  <c r="V109" i="18"/>
  <c r="V225" i="18"/>
  <c r="V78" i="18"/>
  <c r="V245" i="18"/>
  <c r="V244" i="18"/>
  <c r="V26" i="18"/>
  <c r="V190" i="18"/>
  <c r="V133" i="18"/>
  <c r="V209" i="18"/>
  <c r="V207" i="18"/>
  <c r="V44" i="18"/>
  <c r="V89" i="18"/>
  <c r="V131" i="18"/>
  <c r="V81" i="18"/>
  <c r="V166" i="18"/>
  <c r="V164" i="18"/>
  <c r="V41" i="18"/>
  <c r="V196" i="18"/>
  <c r="V233" i="18"/>
  <c r="V34" i="18"/>
  <c r="V124" i="18"/>
  <c r="V63" i="18"/>
  <c r="V143" i="18"/>
  <c r="V154" i="18"/>
  <c r="Q249" i="18"/>
  <c r="Q223" i="18"/>
  <c r="V51" i="18"/>
  <c r="V94" i="18"/>
  <c r="V180" i="18"/>
  <c r="V68" i="18"/>
  <c r="Q159" i="18"/>
  <c r="V58" i="18"/>
  <c r="V102" i="18"/>
  <c r="V112" i="18"/>
  <c r="V91" i="18"/>
  <c r="V92" i="18"/>
  <c r="V37" i="18"/>
  <c r="V199" i="18"/>
  <c r="V210" i="18"/>
  <c r="V204" i="18"/>
  <c r="V135" i="18"/>
  <c r="V79" i="18"/>
  <c r="V72" i="18"/>
  <c r="V31" i="18"/>
  <c r="V165" i="18"/>
  <c r="V64" i="18"/>
  <c r="V80" i="18"/>
  <c r="V150" i="18"/>
  <c r="V172" i="18"/>
  <c r="V177" i="18"/>
  <c r="V127" i="18"/>
  <c r="V160" i="18"/>
  <c r="V134" i="18"/>
  <c r="Q67" i="18"/>
  <c r="V264" i="18"/>
  <c r="V106" i="18"/>
  <c r="V88" i="18"/>
  <c r="V54" i="18"/>
  <c r="V104" i="18"/>
  <c r="V250" i="18"/>
  <c r="V84" i="18"/>
  <c r="V184" i="18"/>
  <c r="V52" i="18"/>
  <c r="V147" i="18"/>
  <c r="V126" i="18"/>
  <c r="V96" i="18"/>
  <c r="V194" i="18"/>
  <c r="V236" i="18"/>
  <c r="V234" i="18"/>
  <c r="V228" i="18"/>
  <c r="V195" i="18"/>
  <c r="V103" i="18"/>
  <c r="V229" i="18"/>
  <c r="V114" i="18"/>
  <c r="V270" i="18"/>
  <c r="V159" i="18"/>
  <c r="V132" i="18"/>
  <c r="V121" i="18"/>
  <c r="V45" i="18"/>
  <c r="V53" i="18"/>
  <c r="V163" i="18"/>
  <c r="V86" i="18"/>
  <c r="V171" i="18"/>
  <c r="V223" i="18"/>
  <c r="V90" i="18"/>
  <c r="V261" i="18"/>
  <c r="Q80" i="18"/>
  <c r="Q85" i="18"/>
  <c r="Q54" i="18"/>
  <c r="Q232" i="18"/>
  <c r="Q189" i="18"/>
  <c r="V251" i="18"/>
  <c r="V179" i="18"/>
  <c r="V46" i="18"/>
  <c r="V107" i="18"/>
  <c r="V42" i="18"/>
  <c r="V157" i="18"/>
  <c r="V113" i="18"/>
  <c r="V99" i="18"/>
  <c r="V246" i="18"/>
  <c r="Q227" i="18"/>
  <c r="Q90" i="18"/>
  <c r="V220" i="18"/>
  <c r="V187" i="18"/>
  <c r="V50" i="18"/>
  <c r="V257" i="18"/>
  <c r="V205" i="18"/>
  <c r="V56" i="18"/>
  <c r="V219" i="18"/>
  <c r="V142" i="18"/>
  <c r="V260" i="18"/>
  <c r="V271" i="18"/>
  <c r="V155" i="18"/>
  <c r="Q122" i="18"/>
  <c r="Q202" i="18"/>
  <c r="Q169" i="18"/>
  <c r="Q205" i="18"/>
  <c r="Q258" i="18"/>
  <c r="Q216" i="18"/>
  <c r="Q222" i="18"/>
  <c r="Q190" i="18"/>
  <c r="Q259" i="18"/>
  <c r="Q197" i="18"/>
  <c r="Q241" i="18"/>
  <c r="Q112" i="18"/>
  <c r="Q236" i="18"/>
  <c r="Q128" i="18"/>
  <c r="Q43" i="18"/>
  <c r="Q152" i="18"/>
  <c r="Q262" i="18"/>
  <c r="Q39" i="18"/>
  <c r="Q167" i="18"/>
  <c r="Q224" i="18"/>
  <c r="Q87" i="18"/>
  <c r="Q264" i="18"/>
  <c r="Q52" i="18"/>
  <c r="Q219" i="18"/>
  <c r="Q99" i="18"/>
  <c r="Q153" i="18"/>
  <c r="Q132" i="18"/>
  <c r="Q175" i="18"/>
  <c r="Q73" i="18"/>
  <c r="Q247" i="18"/>
  <c r="Q149" i="18"/>
  <c r="Q94" i="18"/>
  <c r="Q194" i="18"/>
  <c r="Q261" i="18"/>
  <c r="Q41" i="18"/>
  <c r="Q179" i="18"/>
  <c r="Q274" i="18"/>
  <c r="Q195" i="18"/>
  <c r="Q173" i="18"/>
  <c r="Q187" i="18"/>
  <c r="Q171" i="18"/>
  <c r="Q206" i="18"/>
  <c r="Q58" i="18"/>
  <c r="Q185" i="18"/>
  <c r="Q215" i="18"/>
  <c r="Q193" i="18"/>
  <c r="Q151" i="18"/>
  <c r="Q168" i="18"/>
  <c r="Q198" i="18"/>
  <c r="Q266" i="18"/>
  <c r="Q253" i="18"/>
  <c r="Q208" i="18"/>
  <c r="Q79" i="18"/>
  <c r="Q88" i="18"/>
  <c r="Q230" i="18"/>
  <c r="Q161" i="18"/>
  <c r="Q225" i="18"/>
  <c r="Q257" i="18"/>
  <c r="Q233" i="18"/>
  <c r="Q221" i="18"/>
  <c r="Q154" i="18"/>
  <c r="Q42" i="18"/>
  <c r="Q135" i="18"/>
  <c r="Q176" i="18"/>
  <c r="Q243" i="18"/>
  <c r="Q68" i="18"/>
  <c r="Q60" i="18"/>
  <c r="Q140" i="18"/>
  <c r="Q109" i="18"/>
  <c r="Q255" i="18"/>
  <c r="Q240" i="18"/>
  <c r="Q34" i="18"/>
  <c r="Q248" i="18"/>
  <c r="Q143" i="18"/>
  <c r="Q111" i="18"/>
  <c r="Q268" i="18"/>
  <c r="Q251" i="18"/>
  <c r="Q183" i="18"/>
  <c r="Q98" i="18"/>
  <c r="Q263" i="18"/>
  <c r="Q104" i="18"/>
  <c r="Q203" i="18"/>
  <c r="G24" i="18"/>
  <c r="Q166" i="18"/>
  <c r="Q238" i="18"/>
  <c r="Q117" i="18"/>
  <c r="Q101" i="18"/>
  <c r="Q84" i="18"/>
  <c r="Q235" i="18"/>
  <c r="Q200" i="18"/>
  <c r="Q138" i="18"/>
  <c r="Q115" i="18"/>
  <c r="M24" i="18"/>
  <c r="Q181" i="18"/>
  <c r="Q110" i="18"/>
  <c r="Q50" i="18"/>
  <c r="O24" i="18"/>
  <c r="Q91" i="18"/>
  <c r="Q113" i="18"/>
  <c r="Q213" i="18"/>
  <c r="I6" i="19"/>
  <c r="H4" i="19"/>
  <c r="Q57" i="18"/>
  <c r="Q141" i="18"/>
  <c r="Q147" i="18"/>
  <c r="Q245" i="18"/>
  <c r="J24" i="18"/>
  <c r="Q82" i="18"/>
  <c r="Q145" i="18"/>
  <c r="L7" i="19"/>
  <c r="Q62" i="18"/>
  <c r="V24" i="18" l="1"/>
  <c r="Q22" i="18"/>
  <c r="P24" i="18"/>
  <c r="Q23" i="18"/>
  <c r="L6" i="19"/>
  <c r="M255" i="19" l="1" a="1"/>
  <c r="M255" i="19" s="1"/>
  <c r="N258" i="19" a="1"/>
  <c r="N258" i="19" s="1"/>
  <c r="M258" i="19" a="1"/>
  <c r="M258" i="19" s="1"/>
  <c r="N255" i="19" a="1"/>
  <c r="N255" i="19" s="1"/>
  <c r="M256" i="19" a="1"/>
  <c r="M256" i="19" s="1"/>
  <c r="N257" i="19" a="1"/>
  <c r="N257" i="19" s="1"/>
  <c r="N256" i="19" a="1"/>
  <c r="N256" i="19" s="1"/>
  <c r="M257" i="19" a="1"/>
  <c r="M257" i="19" s="1"/>
  <c r="N8" i="19" a="1"/>
  <c r="N8" i="19" s="1"/>
  <c r="N21" i="19" a="1"/>
  <c r="N21" i="19" s="1"/>
  <c r="N27" i="19" a="1"/>
  <c r="N27" i="19" s="1"/>
  <c r="N34" i="19" a="1"/>
  <c r="N34" i="19" s="1"/>
  <c r="N40" i="19" a="1"/>
  <c r="N40" i="19" s="1"/>
  <c r="N53" i="19" a="1"/>
  <c r="N53" i="19" s="1"/>
  <c r="N59" i="19" a="1"/>
  <c r="N59" i="19" s="1"/>
  <c r="N66" i="19" a="1"/>
  <c r="N66" i="19" s="1"/>
  <c r="N72" i="19" a="1"/>
  <c r="N72" i="19" s="1"/>
  <c r="N85" i="19" a="1"/>
  <c r="N85" i="19" s="1"/>
  <c r="N91" i="19" a="1"/>
  <c r="N91" i="19" s="1"/>
  <c r="N98" i="19" a="1"/>
  <c r="N98" i="19" s="1"/>
  <c r="N104" i="19" a="1"/>
  <c r="N104" i="19" s="1"/>
  <c r="N117" i="19" a="1"/>
  <c r="N117" i="19" s="1"/>
  <c r="N123" i="19" a="1"/>
  <c r="N123" i="19" s="1"/>
  <c r="N130" i="19" a="1"/>
  <c r="N130" i="19" s="1"/>
  <c r="N136" i="19" a="1"/>
  <c r="N136" i="19" s="1"/>
  <c r="N149" i="19" a="1"/>
  <c r="N149" i="19" s="1"/>
  <c r="N155" i="19" a="1"/>
  <c r="N155" i="19" s="1"/>
  <c r="N162" i="19" a="1"/>
  <c r="N162" i="19" s="1"/>
  <c r="N168" i="19" a="1"/>
  <c r="N168" i="19" s="1"/>
  <c r="N181" i="19" a="1"/>
  <c r="N181" i="19" s="1"/>
  <c r="N187" i="19" a="1"/>
  <c r="N187" i="19" s="1"/>
  <c r="N194" i="19" a="1"/>
  <c r="N194" i="19" s="1"/>
  <c r="N200" i="19" a="1"/>
  <c r="N200" i="19" s="1"/>
  <c r="N213" i="19" a="1"/>
  <c r="N213" i="19" s="1"/>
  <c r="N219" i="19" a="1"/>
  <c r="N219" i="19" s="1"/>
  <c r="N226" i="19" a="1"/>
  <c r="N226" i="19" s="1"/>
  <c r="N232" i="19" a="1"/>
  <c r="N232" i="19" s="1"/>
  <c r="N245" i="19" a="1"/>
  <c r="N245" i="19" s="1"/>
  <c r="N251" i="19" a="1"/>
  <c r="N251" i="19" s="1"/>
  <c r="N208" i="19" a="1"/>
  <c r="N208" i="19" s="1"/>
  <c r="N227" i="19" a="1"/>
  <c r="N227" i="19" s="1"/>
  <c r="N240" i="19" a="1"/>
  <c r="N240" i="19" s="1"/>
  <c r="N238" i="19" a="1"/>
  <c r="N238" i="19" s="1"/>
  <c r="N9" i="19" a="1"/>
  <c r="N9" i="19" s="1"/>
  <c r="N15" i="19" a="1"/>
  <c r="N15" i="19" s="1"/>
  <c r="N22" i="19" a="1"/>
  <c r="N22" i="19" s="1"/>
  <c r="N28" i="19" a="1"/>
  <c r="N28" i="19" s="1"/>
  <c r="N41" i="19" a="1"/>
  <c r="N41" i="19" s="1"/>
  <c r="N47" i="19" a="1"/>
  <c r="N47" i="19" s="1"/>
  <c r="N54" i="19" a="1"/>
  <c r="N54" i="19" s="1"/>
  <c r="N60" i="19" a="1"/>
  <c r="N60" i="19" s="1"/>
  <c r="N73" i="19" a="1"/>
  <c r="N73" i="19" s="1"/>
  <c r="N79" i="19" a="1"/>
  <c r="N79" i="19" s="1"/>
  <c r="N86" i="19" a="1"/>
  <c r="N86" i="19" s="1"/>
  <c r="N92" i="19" a="1"/>
  <c r="N92" i="19" s="1"/>
  <c r="N105" i="19" a="1"/>
  <c r="N105" i="19" s="1"/>
  <c r="N111" i="19" a="1"/>
  <c r="N111" i="19" s="1"/>
  <c r="N118" i="19" a="1"/>
  <c r="N118" i="19" s="1"/>
  <c r="N124" i="19" a="1"/>
  <c r="N124" i="19" s="1"/>
  <c r="N137" i="19" a="1"/>
  <c r="N137" i="19" s="1"/>
  <c r="N143" i="19" a="1"/>
  <c r="N143" i="19" s="1"/>
  <c r="N150" i="19" a="1"/>
  <c r="N150" i="19" s="1"/>
  <c r="N156" i="19" a="1"/>
  <c r="N156" i="19" s="1"/>
  <c r="N169" i="19" a="1"/>
  <c r="N169" i="19" s="1"/>
  <c r="N175" i="19" a="1"/>
  <c r="N175" i="19" s="1"/>
  <c r="N182" i="19" a="1"/>
  <c r="N182" i="19" s="1"/>
  <c r="N188" i="19" a="1"/>
  <c r="N188" i="19" s="1"/>
  <c r="N201" i="19" a="1"/>
  <c r="N201" i="19" s="1"/>
  <c r="N207" i="19" a="1"/>
  <c r="N207" i="19" s="1"/>
  <c r="N214" i="19" a="1"/>
  <c r="N214" i="19" s="1"/>
  <c r="N220" i="19" a="1"/>
  <c r="N220" i="19" s="1"/>
  <c r="N233" i="19" a="1"/>
  <c r="N233" i="19" s="1"/>
  <c r="N239" i="19" a="1"/>
  <c r="N239" i="19" s="1"/>
  <c r="N246" i="19" a="1"/>
  <c r="N246" i="19" s="1"/>
  <c r="N252" i="19" a="1"/>
  <c r="N252" i="19" s="1"/>
  <c r="N144" i="19" a="1"/>
  <c r="N144" i="19" s="1"/>
  <c r="N157" i="19" a="1"/>
  <c r="N157" i="19" s="1"/>
  <c r="N163" i="19" a="1"/>
  <c r="N163" i="19" s="1"/>
  <c r="N170" i="19" a="1"/>
  <c r="N170" i="19" s="1"/>
  <c r="N176" i="19" a="1"/>
  <c r="N176" i="19" s="1"/>
  <c r="N189" i="19" a="1"/>
  <c r="N189" i="19" s="1"/>
  <c r="N195" i="19" a="1"/>
  <c r="N195" i="19" s="1"/>
  <c r="N202" i="19" a="1"/>
  <c r="N202" i="19" s="1"/>
  <c r="N221" i="19" a="1"/>
  <c r="N221" i="19" s="1"/>
  <c r="N234" i="19" a="1"/>
  <c r="N234" i="19" s="1"/>
  <c r="N253" i="19" a="1"/>
  <c r="N253" i="19" s="1"/>
  <c r="N10" i="19" a="1"/>
  <c r="N10" i="19" s="1"/>
  <c r="N16" i="19" a="1"/>
  <c r="N16" i="19" s="1"/>
  <c r="N29" i="19" a="1"/>
  <c r="N29" i="19" s="1"/>
  <c r="N35" i="19" a="1"/>
  <c r="N35" i="19" s="1"/>
  <c r="N42" i="19" a="1"/>
  <c r="N42" i="19" s="1"/>
  <c r="N48" i="19" a="1"/>
  <c r="N48" i="19" s="1"/>
  <c r="N61" i="19" a="1"/>
  <c r="N61" i="19" s="1"/>
  <c r="N67" i="19" a="1"/>
  <c r="N67" i="19" s="1"/>
  <c r="N74" i="19" a="1"/>
  <c r="N74" i="19" s="1"/>
  <c r="N80" i="19" a="1"/>
  <c r="N80" i="19" s="1"/>
  <c r="N93" i="19" a="1"/>
  <c r="N93" i="19" s="1"/>
  <c r="N99" i="19" a="1"/>
  <c r="N99" i="19" s="1"/>
  <c r="N106" i="19" a="1"/>
  <c r="N106" i="19" s="1"/>
  <c r="N112" i="19" a="1"/>
  <c r="N112" i="19" s="1"/>
  <c r="N125" i="19" a="1"/>
  <c r="N125" i="19" s="1"/>
  <c r="N131" i="19" a="1"/>
  <c r="N131" i="19" s="1"/>
  <c r="N138" i="19" a="1"/>
  <c r="N138" i="19" s="1"/>
  <c r="N17" i="19" a="1"/>
  <c r="N17" i="19" s="1"/>
  <c r="N23" i="19" a="1"/>
  <c r="N23" i="19" s="1"/>
  <c r="N30" i="19" a="1"/>
  <c r="N30" i="19" s="1"/>
  <c r="N36" i="19" a="1"/>
  <c r="N36" i="19" s="1"/>
  <c r="N49" i="19" a="1"/>
  <c r="N49" i="19" s="1"/>
  <c r="N55" i="19" a="1"/>
  <c r="N55" i="19" s="1"/>
  <c r="N62" i="19" a="1"/>
  <c r="N62" i="19" s="1"/>
  <c r="N68" i="19" a="1"/>
  <c r="N68" i="19" s="1"/>
  <c r="N81" i="19" a="1"/>
  <c r="N81" i="19" s="1"/>
  <c r="N87" i="19" a="1"/>
  <c r="N87" i="19" s="1"/>
  <c r="N94" i="19" a="1"/>
  <c r="N94" i="19" s="1"/>
  <c r="N100" i="19" a="1"/>
  <c r="N100" i="19" s="1"/>
  <c r="N113" i="19" a="1"/>
  <c r="N113" i="19" s="1"/>
  <c r="N119" i="19" a="1"/>
  <c r="N119" i="19" s="1"/>
  <c r="N126" i="19" a="1"/>
  <c r="N126" i="19" s="1"/>
  <c r="N132" i="19" a="1"/>
  <c r="N132" i="19" s="1"/>
  <c r="N145" i="19" a="1"/>
  <c r="N145" i="19" s="1"/>
  <c r="N151" i="19" a="1"/>
  <c r="N151" i="19" s="1"/>
  <c r="N158" i="19" a="1"/>
  <c r="N158" i="19" s="1"/>
  <c r="N164" i="19" a="1"/>
  <c r="N164" i="19" s="1"/>
  <c r="N177" i="19" a="1"/>
  <c r="N177" i="19" s="1"/>
  <c r="N183" i="19" a="1"/>
  <c r="N183" i="19" s="1"/>
  <c r="N190" i="19" a="1"/>
  <c r="N190" i="19" s="1"/>
  <c r="N196" i="19" a="1"/>
  <c r="N196" i="19" s="1"/>
  <c r="N209" i="19" a="1"/>
  <c r="N209" i="19" s="1"/>
  <c r="N215" i="19" a="1"/>
  <c r="N215" i="19" s="1"/>
  <c r="N222" i="19" a="1"/>
  <c r="N222" i="19" s="1"/>
  <c r="N228" i="19" a="1"/>
  <c r="N228" i="19" s="1"/>
  <c r="N241" i="19" a="1"/>
  <c r="N241" i="19" s="1"/>
  <c r="N247" i="19" a="1"/>
  <c r="N247" i="19" s="1"/>
  <c r="N254" i="19" a="1"/>
  <c r="N254" i="19" s="1"/>
  <c r="N140" i="19" a="1"/>
  <c r="N140" i="19" s="1"/>
  <c r="N172" i="19" a="1"/>
  <c r="N172" i="19" s="1"/>
  <c r="N191" i="19" a="1"/>
  <c r="N191" i="19" s="1"/>
  <c r="N217" i="19" a="1"/>
  <c r="N217" i="19" s="1"/>
  <c r="N236" i="19" a="1"/>
  <c r="N236" i="19" s="1"/>
  <c r="N52" i="19" a="1"/>
  <c r="N52" i="19" s="1"/>
  <c r="N84" i="19" a="1"/>
  <c r="N84" i="19" s="1"/>
  <c r="N116" i="19" a="1"/>
  <c r="N116" i="19" s="1"/>
  <c r="N148" i="19" a="1"/>
  <c r="N148" i="19" s="1"/>
  <c r="N193" i="19" a="1"/>
  <c r="N193" i="19" s="1"/>
  <c r="N212" i="19" a="1"/>
  <c r="N212" i="19" s="1"/>
  <c r="N11" i="19" a="1"/>
  <c r="N11" i="19" s="1"/>
  <c r="N18" i="19" a="1"/>
  <c r="N18" i="19" s="1"/>
  <c r="N24" i="19" a="1"/>
  <c r="N24" i="19" s="1"/>
  <c r="N37" i="19" a="1"/>
  <c r="N37" i="19" s="1"/>
  <c r="N43" i="19" a="1"/>
  <c r="N43" i="19" s="1"/>
  <c r="N50" i="19" a="1"/>
  <c r="N50" i="19" s="1"/>
  <c r="N56" i="19" a="1"/>
  <c r="N56" i="19" s="1"/>
  <c r="N69" i="19" a="1"/>
  <c r="N69" i="19" s="1"/>
  <c r="N75" i="19" a="1"/>
  <c r="N75" i="19" s="1"/>
  <c r="N82" i="19" a="1"/>
  <c r="N82" i="19" s="1"/>
  <c r="N88" i="19" a="1"/>
  <c r="N88" i="19" s="1"/>
  <c r="N101" i="19" a="1"/>
  <c r="N101" i="19" s="1"/>
  <c r="N107" i="19" a="1"/>
  <c r="N107" i="19" s="1"/>
  <c r="N114" i="19" a="1"/>
  <c r="N114" i="19" s="1"/>
  <c r="N120" i="19" a="1"/>
  <c r="N120" i="19" s="1"/>
  <c r="N133" i="19" a="1"/>
  <c r="N133" i="19" s="1"/>
  <c r="N139" i="19" a="1"/>
  <c r="N139" i="19" s="1"/>
  <c r="N146" i="19" a="1"/>
  <c r="N146" i="19" s="1"/>
  <c r="N152" i="19" a="1"/>
  <c r="N152" i="19" s="1"/>
  <c r="N165" i="19" a="1"/>
  <c r="N165" i="19" s="1"/>
  <c r="N171" i="19" a="1"/>
  <c r="N171" i="19" s="1"/>
  <c r="N178" i="19" a="1"/>
  <c r="N178" i="19" s="1"/>
  <c r="N184" i="19" a="1"/>
  <c r="N184" i="19" s="1"/>
  <c r="N197" i="19" a="1"/>
  <c r="N197" i="19" s="1"/>
  <c r="N203" i="19" a="1"/>
  <c r="N203" i="19" s="1"/>
  <c r="N210" i="19" a="1"/>
  <c r="N210" i="19" s="1"/>
  <c r="N216" i="19" a="1"/>
  <c r="N216" i="19" s="1"/>
  <c r="N229" i="19" a="1"/>
  <c r="N229" i="19" s="1"/>
  <c r="N235" i="19" a="1"/>
  <c r="N235" i="19" s="1"/>
  <c r="N242" i="19" a="1"/>
  <c r="N242" i="19" s="1"/>
  <c r="N248" i="19" a="1"/>
  <c r="N248" i="19" s="1"/>
  <c r="N153" i="19" a="1"/>
  <c r="N153" i="19" s="1"/>
  <c r="N166" i="19" a="1"/>
  <c r="N166" i="19" s="1"/>
  <c r="N198" i="19" a="1"/>
  <c r="N198" i="19" s="1"/>
  <c r="N223" i="19" a="1"/>
  <c r="N223" i="19" s="1"/>
  <c r="N249" i="19" a="1"/>
  <c r="N249" i="19" s="1"/>
  <c r="N65" i="19" a="1"/>
  <c r="N65" i="19" s="1"/>
  <c r="N97" i="19" a="1"/>
  <c r="N97" i="19" s="1"/>
  <c r="N129" i="19" a="1"/>
  <c r="N129" i="19" s="1"/>
  <c r="N161" i="19" a="1"/>
  <c r="N161" i="19" s="1"/>
  <c r="N174" i="19" a="1"/>
  <c r="N174" i="19" s="1"/>
  <c r="N206" i="19" a="1"/>
  <c r="N206" i="19" s="1"/>
  <c r="N244" i="19" a="1"/>
  <c r="N244" i="19" s="1"/>
  <c r="N12" i="19" a="1"/>
  <c r="N12" i="19" s="1"/>
  <c r="N25" i="19" a="1"/>
  <c r="N25" i="19" s="1"/>
  <c r="N31" i="19" a="1"/>
  <c r="N31" i="19" s="1"/>
  <c r="N38" i="19" a="1"/>
  <c r="N38" i="19" s="1"/>
  <c r="N44" i="19" a="1"/>
  <c r="N44" i="19" s="1"/>
  <c r="N57" i="19" a="1"/>
  <c r="N57" i="19" s="1"/>
  <c r="N63" i="19" a="1"/>
  <c r="N63" i="19" s="1"/>
  <c r="N70" i="19" a="1"/>
  <c r="N70" i="19" s="1"/>
  <c r="N76" i="19" a="1"/>
  <c r="N76" i="19" s="1"/>
  <c r="N89" i="19" a="1"/>
  <c r="N89" i="19" s="1"/>
  <c r="N95" i="19" a="1"/>
  <c r="N95" i="19" s="1"/>
  <c r="N102" i="19" a="1"/>
  <c r="N102" i="19" s="1"/>
  <c r="N108" i="19" a="1"/>
  <c r="N108" i="19" s="1"/>
  <c r="N121" i="19" a="1"/>
  <c r="N121" i="19" s="1"/>
  <c r="N127" i="19" a="1"/>
  <c r="N127" i="19" s="1"/>
  <c r="N134" i="19" a="1"/>
  <c r="N134" i="19" s="1"/>
  <c r="N159" i="19" a="1"/>
  <c r="N159" i="19" s="1"/>
  <c r="N185" i="19" a="1"/>
  <c r="N185" i="19" s="1"/>
  <c r="N204" i="19" a="1"/>
  <c r="N204" i="19" s="1"/>
  <c r="N230" i="19" a="1"/>
  <c r="N230" i="19" s="1"/>
  <c r="N6" i="19" a="1"/>
  <c r="N6" i="19" s="1"/>
  <c r="N71" i="19" a="1"/>
  <c r="N71" i="19" s="1"/>
  <c r="N103" i="19" a="1"/>
  <c r="N103" i="19" s="1"/>
  <c r="N135" i="19" a="1"/>
  <c r="N135" i="19" s="1"/>
  <c r="N167" i="19" a="1"/>
  <c r="N167" i="19" s="1"/>
  <c r="N199" i="19" a="1"/>
  <c r="N199" i="19" s="1"/>
  <c r="N231" i="19" a="1"/>
  <c r="N231" i="19" s="1"/>
  <c r="N13" i="19" a="1"/>
  <c r="N13" i="19" s="1"/>
  <c r="N19" i="19" a="1"/>
  <c r="N19" i="19" s="1"/>
  <c r="N26" i="19" a="1"/>
  <c r="N26" i="19" s="1"/>
  <c r="N32" i="19" a="1"/>
  <c r="N32" i="19" s="1"/>
  <c r="N45" i="19" a="1"/>
  <c r="N45" i="19" s="1"/>
  <c r="N51" i="19" a="1"/>
  <c r="N51" i="19" s="1"/>
  <c r="N58" i="19" a="1"/>
  <c r="N58" i="19" s="1"/>
  <c r="N64" i="19" a="1"/>
  <c r="N64" i="19" s="1"/>
  <c r="N77" i="19" a="1"/>
  <c r="N77" i="19" s="1"/>
  <c r="N83" i="19" a="1"/>
  <c r="N83" i="19" s="1"/>
  <c r="N90" i="19" a="1"/>
  <c r="N90" i="19" s="1"/>
  <c r="N96" i="19" a="1"/>
  <c r="N96" i="19" s="1"/>
  <c r="N109" i="19" a="1"/>
  <c r="N109" i="19" s="1"/>
  <c r="N115" i="19" a="1"/>
  <c r="N115" i="19" s="1"/>
  <c r="N122" i="19" a="1"/>
  <c r="N122" i="19" s="1"/>
  <c r="N128" i="19" a="1"/>
  <c r="N128" i="19" s="1"/>
  <c r="N141" i="19" a="1"/>
  <c r="N141" i="19" s="1"/>
  <c r="N147" i="19" a="1"/>
  <c r="N147" i="19" s="1"/>
  <c r="N154" i="19" a="1"/>
  <c r="N154" i="19" s="1"/>
  <c r="N160" i="19" a="1"/>
  <c r="N160" i="19" s="1"/>
  <c r="N173" i="19" a="1"/>
  <c r="N173" i="19" s="1"/>
  <c r="N179" i="19" a="1"/>
  <c r="N179" i="19" s="1"/>
  <c r="N186" i="19" a="1"/>
  <c r="N186" i="19" s="1"/>
  <c r="N192" i="19" a="1"/>
  <c r="N192" i="19" s="1"/>
  <c r="N205" i="19" a="1"/>
  <c r="N205" i="19" s="1"/>
  <c r="N211" i="19" a="1"/>
  <c r="N211" i="19" s="1"/>
  <c r="N218" i="19" a="1"/>
  <c r="N218" i="19" s="1"/>
  <c r="N224" i="19" a="1"/>
  <c r="N224" i="19" s="1"/>
  <c r="N237" i="19" a="1"/>
  <c r="N237" i="19" s="1"/>
  <c r="N243" i="19" a="1"/>
  <c r="N243" i="19" s="1"/>
  <c r="N250" i="19" a="1"/>
  <c r="N250" i="19" s="1"/>
  <c r="N7" i="19" a="1"/>
  <c r="N7" i="19" s="1"/>
  <c r="N14" i="19" a="1"/>
  <c r="N14" i="19" s="1"/>
  <c r="N20" i="19" a="1"/>
  <c r="N20" i="19" s="1"/>
  <c r="N33" i="19" a="1"/>
  <c r="N33" i="19" s="1"/>
  <c r="N39" i="19" a="1"/>
  <c r="N39" i="19" s="1"/>
  <c r="N46" i="19" a="1"/>
  <c r="N46" i="19" s="1"/>
  <c r="N78" i="19" a="1"/>
  <c r="N78" i="19" s="1"/>
  <c r="N110" i="19" a="1"/>
  <c r="N110" i="19" s="1"/>
  <c r="N142" i="19" a="1"/>
  <c r="N142" i="19" s="1"/>
  <c r="N180" i="19" a="1"/>
  <c r="N180" i="19" s="1"/>
  <c r="N225" i="19" a="1"/>
  <c r="N225" i="19" s="1"/>
  <c r="M11" i="19" a="1"/>
  <c r="M11" i="19" s="1"/>
  <c r="M19" i="19" a="1"/>
  <c r="M19" i="19" s="1"/>
  <c r="M27" i="19" a="1"/>
  <c r="M27" i="19" s="1"/>
  <c r="M35" i="19" a="1"/>
  <c r="M35" i="19" s="1"/>
  <c r="M14" i="19" a="1"/>
  <c r="M14" i="19" s="1"/>
  <c r="M22" i="19" a="1"/>
  <c r="M22" i="19" s="1"/>
  <c r="M30" i="19" a="1"/>
  <c r="M30" i="19" s="1"/>
  <c r="M38" i="19" a="1"/>
  <c r="M38" i="19" s="1"/>
  <c r="M46" i="19" a="1"/>
  <c r="M46" i="19" s="1"/>
  <c r="M54" i="19" a="1"/>
  <c r="M54" i="19" s="1"/>
  <c r="M62" i="19" a="1"/>
  <c r="M62" i="19" s="1"/>
  <c r="M70" i="19" a="1"/>
  <c r="M70" i="19" s="1"/>
  <c r="M78" i="19" a="1"/>
  <c r="M78" i="19" s="1"/>
  <c r="M86" i="19" a="1"/>
  <c r="M86" i="19" s="1"/>
  <c r="M94" i="19" a="1"/>
  <c r="M94" i="19" s="1"/>
  <c r="M102" i="19" a="1"/>
  <c r="M102" i="19" s="1"/>
  <c r="M7" i="19" a="1"/>
  <c r="M7" i="19" s="1"/>
  <c r="M9" i="19" a="1"/>
  <c r="M9" i="19" s="1"/>
  <c r="M17" i="19" a="1"/>
  <c r="M17" i="19" s="1"/>
  <c r="M12" i="19" a="1"/>
  <c r="M12" i="19" s="1"/>
  <c r="M20" i="19" a="1"/>
  <c r="M20" i="19" s="1"/>
  <c r="M28" i="19" a="1"/>
  <c r="M28" i="19" s="1"/>
  <c r="M36" i="19" a="1"/>
  <c r="M36" i="19" s="1"/>
  <c r="M44" i="19" a="1"/>
  <c r="M44" i="19" s="1"/>
  <c r="M52" i="19" a="1"/>
  <c r="M52" i="19" s="1"/>
  <c r="M60" i="19" a="1"/>
  <c r="M60" i="19" s="1"/>
  <c r="M68" i="19" a="1"/>
  <c r="M68" i="19" s="1"/>
  <c r="M76" i="19" a="1"/>
  <c r="M76" i="19" s="1"/>
  <c r="M84" i="19" a="1"/>
  <c r="M84" i="19" s="1"/>
  <c r="M92" i="19" a="1"/>
  <c r="M92" i="19" s="1"/>
  <c r="M100" i="19" a="1"/>
  <c r="M100" i="19" s="1"/>
  <c r="M108" i="19" a="1"/>
  <c r="M108" i="19" s="1"/>
  <c r="M116" i="19" a="1"/>
  <c r="M116" i="19" s="1"/>
  <c r="M124" i="19" a="1"/>
  <c r="M124" i="19" s="1"/>
  <c r="M15" i="19" a="1"/>
  <c r="M15" i="19" s="1"/>
  <c r="M23" i="19" a="1"/>
  <c r="M23" i="19" s="1"/>
  <c r="M31" i="19" a="1"/>
  <c r="M31" i="19" s="1"/>
  <c r="M39" i="19" a="1"/>
  <c r="M39" i="19" s="1"/>
  <c r="M47" i="19" a="1"/>
  <c r="M47" i="19" s="1"/>
  <c r="M55" i="19" a="1"/>
  <c r="M55" i="19" s="1"/>
  <c r="M63" i="19" a="1"/>
  <c r="M63" i="19" s="1"/>
  <c r="M10" i="19" a="1"/>
  <c r="M10" i="19" s="1"/>
  <c r="M18" i="19" a="1"/>
  <c r="M18" i="19" s="1"/>
  <c r="M26" i="19" a="1"/>
  <c r="M26" i="19" s="1"/>
  <c r="M34" i="19" a="1"/>
  <c r="M34" i="19" s="1"/>
  <c r="M42" i="19" a="1"/>
  <c r="M42" i="19" s="1"/>
  <c r="M50" i="19" a="1"/>
  <c r="M50" i="19" s="1"/>
  <c r="M58" i="19" a="1"/>
  <c r="M58" i="19" s="1"/>
  <c r="M66" i="19" a="1"/>
  <c r="M66" i="19" s="1"/>
  <c r="M74" i="19" a="1"/>
  <c r="M74" i="19" s="1"/>
  <c r="M82" i="19" a="1"/>
  <c r="M82" i="19" s="1"/>
  <c r="M90" i="19" a="1"/>
  <c r="M90" i="19" s="1"/>
  <c r="M98" i="19" a="1"/>
  <c r="M98" i="19" s="1"/>
  <c r="M106" i="19" a="1"/>
  <c r="M106" i="19" s="1"/>
  <c r="M8" i="19" a="1"/>
  <c r="M8" i="19" s="1"/>
  <c r="M33" i="19" a="1"/>
  <c r="M33" i="19" s="1"/>
  <c r="M45" i="19" a="1"/>
  <c r="M45" i="19" s="1"/>
  <c r="M61" i="19" a="1"/>
  <c r="M61" i="19" s="1"/>
  <c r="M87" i="19" a="1"/>
  <c r="M87" i="19" s="1"/>
  <c r="M91" i="19" a="1"/>
  <c r="M91" i="19" s="1"/>
  <c r="M104" i="19" a="1"/>
  <c r="M104" i="19" s="1"/>
  <c r="M111" i="19" a="1"/>
  <c r="M111" i="19" s="1"/>
  <c r="M114" i="19" a="1"/>
  <c r="M114" i="19" s="1"/>
  <c r="M117" i="19" a="1"/>
  <c r="M117" i="19" s="1"/>
  <c r="M120" i="19" a="1"/>
  <c r="M120" i="19" s="1"/>
  <c r="M123" i="19" a="1"/>
  <c r="M123" i="19" s="1"/>
  <c r="M126" i="19" a="1"/>
  <c r="M126" i="19" s="1"/>
  <c r="M134" i="19" a="1"/>
  <c r="M134" i="19" s="1"/>
  <c r="M142" i="19" a="1"/>
  <c r="M142" i="19" s="1"/>
  <c r="M150" i="19" a="1"/>
  <c r="M150" i="19" s="1"/>
  <c r="M158" i="19" a="1"/>
  <c r="M158" i="19" s="1"/>
  <c r="M166" i="19" a="1"/>
  <c r="M166" i="19" s="1"/>
  <c r="M174" i="19" a="1"/>
  <c r="M174" i="19" s="1"/>
  <c r="M182" i="19" a="1"/>
  <c r="M182" i="19" s="1"/>
  <c r="M190" i="19" a="1"/>
  <c r="M190" i="19" s="1"/>
  <c r="M198" i="19" a="1"/>
  <c r="M198" i="19" s="1"/>
  <c r="M206" i="19" a="1"/>
  <c r="M206" i="19" s="1"/>
  <c r="M40" i="19" a="1"/>
  <c r="M40" i="19" s="1"/>
  <c r="M56" i="19" a="1"/>
  <c r="M56" i="19" s="1"/>
  <c r="M79" i="19" a="1"/>
  <c r="M79" i="19" s="1"/>
  <c r="M83" i="19" a="1"/>
  <c r="M83" i="19" s="1"/>
  <c r="M96" i="19" a="1"/>
  <c r="M96" i="19" s="1"/>
  <c r="M129" i="19" a="1"/>
  <c r="M129" i="19" s="1"/>
  <c r="M137" i="19" a="1"/>
  <c r="M137" i="19" s="1"/>
  <c r="M145" i="19" a="1"/>
  <c r="M145" i="19" s="1"/>
  <c r="M153" i="19" a="1"/>
  <c r="M153" i="19" s="1"/>
  <c r="M161" i="19" a="1"/>
  <c r="M161" i="19" s="1"/>
  <c r="M169" i="19" a="1"/>
  <c r="M169" i="19" s="1"/>
  <c r="M177" i="19" a="1"/>
  <c r="M177" i="19" s="1"/>
  <c r="M185" i="19" a="1"/>
  <c r="M185" i="19" s="1"/>
  <c r="M193" i="19" a="1"/>
  <c r="M193" i="19" s="1"/>
  <c r="M201" i="19" a="1"/>
  <c r="M201" i="19" s="1"/>
  <c r="M209" i="19" a="1"/>
  <c r="M209" i="19" s="1"/>
  <c r="M217" i="19" a="1"/>
  <c r="M217" i="19" s="1"/>
  <c r="M225" i="19" a="1"/>
  <c r="M225" i="19" s="1"/>
  <c r="M21" i="19" a="1"/>
  <c r="M21" i="19" s="1"/>
  <c r="M51" i="19" a="1"/>
  <c r="M51" i="19" s="1"/>
  <c r="M71" i="19" a="1"/>
  <c r="M71" i="19" s="1"/>
  <c r="M75" i="19" a="1"/>
  <c r="M75" i="19" s="1"/>
  <c r="M88" i="19" a="1"/>
  <c r="M88" i="19" s="1"/>
  <c r="M101" i="19" a="1"/>
  <c r="M101" i="19" s="1"/>
  <c r="M105" i="19" a="1"/>
  <c r="M105" i="19" s="1"/>
  <c r="M132" i="19" a="1"/>
  <c r="M132" i="19" s="1"/>
  <c r="M140" i="19" a="1"/>
  <c r="M140" i="19" s="1"/>
  <c r="M148" i="19" a="1"/>
  <c r="M148" i="19" s="1"/>
  <c r="M156" i="19" a="1"/>
  <c r="M156" i="19" s="1"/>
  <c r="M164" i="19" a="1"/>
  <c r="M164" i="19" s="1"/>
  <c r="M172" i="19" a="1"/>
  <c r="M172" i="19" s="1"/>
  <c r="M180" i="19" a="1"/>
  <c r="M180" i="19" s="1"/>
  <c r="M188" i="19" a="1"/>
  <c r="M188" i="19" s="1"/>
  <c r="M196" i="19" a="1"/>
  <c r="M196" i="19" s="1"/>
  <c r="M204" i="19" a="1"/>
  <c r="M204" i="19" s="1"/>
  <c r="M212" i="19" a="1"/>
  <c r="M212" i="19" s="1"/>
  <c r="M220" i="19" a="1"/>
  <c r="M220" i="19" s="1"/>
  <c r="M228" i="19" a="1"/>
  <c r="M228" i="19" s="1"/>
  <c r="M236" i="19" a="1"/>
  <c r="M236" i="19" s="1"/>
  <c r="M244" i="19" a="1"/>
  <c r="M244" i="19" s="1"/>
  <c r="M252" i="19" a="1"/>
  <c r="M252" i="19" s="1"/>
  <c r="M13" i="19" a="1"/>
  <c r="M13" i="19" s="1"/>
  <c r="M29" i="19" a="1"/>
  <c r="M29" i="19" s="1"/>
  <c r="M41" i="19" a="1"/>
  <c r="M41" i="19" s="1"/>
  <c r="M57" i="19" a="1"/>
  <c r="M57" i="19" s="1"/>
  <c r="M67" i="19" a="1"/>
  <c r="M67" i="19" s="1"/>
  <c r="M80" i="19" a="1"/>
  <c r="M80" i="19" s="1"/>
  <c r="M93" i="19" a="1"/>
  <c r="M93" i="19" s="1"/>
  <c r="M97" i="19" a="1"/>
  <c r="M97" i="19" s="1"/>
  <c r="M109" i="19" a="1"/>
  <c r="M109" i="19" s="1"/>
  <c r="M112" i="19" a="1"/>
  <c r="M112" i="19" s="1"/>
  <c r="M115" i="19" a="1"/>
  <c r="M115" i="19" s="1"/>
  <c r="M118" i="19" a="1"/>
  <c r="M118" i="19" s="1"/>
  <c r="M121" i="19" a="1"/>
  <c r="M121" i="19" s="1"/>
  <c r="M127" i="19" a="1"/>
  <c r="M127" i="19" s="1"/>
  <c r="M135" i="19" a="1"/>
  <c r="M135" i="19" s="1"/>
  <c r="M143" i="19" a="1"/>
  <c r="M143" i="19" s="1"/>
  <c r="M151" i="19" a="1"/>
  <c r="M151" i="19" s="1"/>
  <c r="M159" i="19" a="1"/>
  <c r="M159" i="19" s="1"/>
  <c r="M167" i="19" a="1"/>
  <c r="M167" i="19" s="1"/>
  <c r="M175" i="19" a="1"/>
  <c r="M175" i="19" s="1"/>
  <c r="M183" i="19" a="1"/>
  <c r="M183" i="19" s="1"/>
  <c r="M191" i="19" a="1"/>
  <c r="M191" i="19" s="1"/>
  <c r="M199" i="19" a="1"/>
  <c r="M199" i="19" s="1"/>
  <c r="M207" i="19" a="1"/>
  <c r="M207" i="19" s="1"/>
  <c r="M215" i="19" a="1"/>
  <c r="M215" i="19" s="1"/>
  <c r="M223" i="19" a="1"/>
  <c r="M223" i="19" s="1"/>
  <c r="M37" i="19" a="1"/>
  <c r="M37" i="19" s="1"/>
  <c r="M53" i="19" a="1"/>
  <c r="M53" i="19" s="1"/>
  <c r="M72" i="19" a="1"/>
  <c r="M72" i="19" s="1"/>
  <c r="M85" i="19" a="1"/>
  <c r="M85" i="19" s="1"/>
  <c r="M89" i="19" a="1"/>
  <c r="M89" i="19" s="1"/>
  <c r="M130" i="19" a="1"/>
  <c r="M130" i="19" s="1"/>
  <c r="M138" i="19" a="1"/>
  <c r="M138" i="19" s="1"/>
  <c r="M146" i="19" a="1"/>
  <c r="M146" i="19" s="1"/>
  <c r="M154" i="19" a="1"/>
  <c r="M154" i="19" s="1"/>
  <c r="M162" i="19" a="1"/>
  <c r="M162" i="19" s="1"/>
  <c r="M170" i="19" a="1"/>
  <c r="M170" i="19" s="1"/>
  <c r="M178" i="19" a="1"/>
  <c r="M178" i="19" s="1"/>
  <c r="M186" i="19" a="1"/>
  <c r="M186" i="19" s="1"/>
  <c r="M194" i="19" a="1"/>
  <c r="M194" i="19" s="1"/>
  <c r="M202" i="19" a="1"/>
  <c r="M202" i="19" s="1"/>
  <c r="M210" i="19" a="1"/>
  <c r="M210" i="19" s="1"/>
  <c r="M218" i="19" a="1"/>
  <c r="M218" i="19" s="1"/>
  <c r="M226" i="19" a="1"/>
  <c r="M226" i="19" s="1"/>
  <c r="M16" i="19" a="1"/>
  <c r="M16" i="19" s="1"/>
  <c r="M24" i="19" a="1"/>
  <c r="M24" i="19" s="1"/>
  <c r="M43" i="19" a="1"/>
  <c r="M43" i="19" s="1"/>
  <c r="M59" i="19" a="1"/>
  <c r="M59" i="19" s="1"/>
  <c r="M69" i="19" a="1"/>
  <c r="M69" i="19" s="1"/>
  <c r="M73" i="19" a="1"/>
  <c r="M73" i="19" s="1"/>
  <c r="M103" i="19" a="1"/>
  <c r="M103" i="19" s="1"/>
  <c r="M107" i="19" a="1"/>
  <c r="M107" i="19" s="1"/>
  <c r="M110" i="19" a="1"/>
  <c r="M110" i="19" s="1"/>
  <c r="M113" i="19" a="1"/>
  <c r="M113" i="19" s="1"/>
  <c r="M128" i="19" a="1"/>
  <c r="M128" i="19" s="1"/>
  <c r="M136" i="19" a="1"/>
  <c r="M136" i="19" s="1"/>
  <c r="M144" i="19" a="1"/>
  <c r="M144" i="19" s="1"/>
  <c r="M152" i="19" a="1"/>
  <c r="M152" i="19" s="1"/>
  <c r="M160" i="19" a="1"/>
  <c r="M160" i="19" s="1"/>
  <c r="M25" i="19" a="1"/>
  <c r="M25" i="19" s="1"/>
  <c r="M32" i="19" a="1"/>
  <c r="M32" i="19" s="1"/>
  <c r="M49" i="19" a="1"/>
  <c r="M49" i="19" s="1"/>
  <c r="M65" i="19" a="1"/>
  <c r="M65" i="19" s="1"/>
  <c r="M95" i="19" a="1"/>
  <c r="M95" i="19" s="1"/>
  <c r="M99" i="19" a="1"/>
  <c r="M99" i="19" s="1"/>
  <c r="M131" i="19" a="1"/>
  <c r="M131" i="19" s="1"/>
  <c r="M139" i="19" a="1"/>
  <c r="M139" i="19" s="1"/>
  <c r="M147" i="19" a="1"/>
  <c r="M147" i="19" s="1"/>
  <c r="M155" i="19" a="1"/>
  <c r="M155" i="19" s="1"/>
  <c r="M163" i="19" a="1"/>
  <c r="M163" i="19" s="1"/>
  <c r="M171" i="19" a="1"/>
  <c r="M171" i="19" s="1"/>
  <c r="M179" i="19" a="1"/>
  <c r="M179" i="19" s="1"/>
  <c r="M187" i="19" a="1"/>
  <c r="M187" i="19" s="1"/>
  <c r="M195" i="19" a="1"/>
  <c r="M195" i="19" s="1"/>
  <c r="M203" i="19" a="1"/>
  <c r="M203" i="19" s="1"/>
  <c r="M211" i="19" a="1"/>
  <c r="M211" i="19" s="1"/>
  <c r="M219" i="19" a="1"/>
  <c r="M219" i="19" s="1"/>
  <c r="M227" i="19" a="1"/>
  <c r="M227" i="19" s="1"/>
  <c r="M235" i="19" a="1"/>
  <c r="M235" i="19" s="1"/>
  <c r="M243" i="19" a="1"/>
  <c r="M243" i="19" s="1"/>
  <c r="M251" i="19" a="1"/>
  <c r="M251" i="19" s="1"/>
  <c r="M48" i="19" a="1"/>
  <c r="M48" i="19" s="1"/>
  <c r="M192" i="19" a="1"/>
  <c r="M192" i="19" s="1"/>
  <c r="M233" i="19" a="1"/>
  <c r="M233" i="19" s="1"/>
  <c r="M240" i="19" a="1"/>
  <c r="M240" i="19" s="1"/>
  <c r="M254" i="19" a="1"/>
  <c r="M254" i="19" s="1"/>
  <c r="M119" i="19" a="1"/>
  <c r="M119" i="19" s="1"/>
  <c r="M141" i="19" a="1"/>
  <c r="M141" i="19" s="1"/>
  <c r="M173" i="19" a="1"/>
  <c r="M173" i="19" s="1"/>
  <c r="M205" i="19" a="1"/>
  <c r="M205" i="19" s="1"/>
  <c r="M213" i="19" a="1"/>
  <c r="M213" i="19" s="1"/>
  <c r="M230" i="19" a="1"/>
  <c r="M230" i="19" s="1"/>
  <c r="M237" i="19" a="1"/>
  <c r="M237" i="19" s="1"/>
  <c r="M122" i="19" a="1"/>
  <c r="M122" i="19" s="1"/>
  <c r="M184" i="19" a="1"/>
  <c r="M184" i="19" s="1"/>
  <c r="M221" i="19" a="1"/>
  <c r="M221" i="19" s="1"/>
  <c r="M234" i="19" a="1"/>
  <c r="M234" i="19" s="1"/>
  <c r="M241" i="19" a="1"/>
  <c r="M241" i="19" s="1"/>
  <c r="M248" i="19" a="1"/>
  <c r="M248" i="19" s="1"/>
  <c r="M64" i="19" a="1"/>
  <c r="M64" i="19" s="1"/>
  <c r="M125" i="19" a="1"/>
  <c r="M125" i="19" s="1"/>
  <c r="M165" i="19" a="1"/>
  <c r="M165" i="19" s="1"/>
  <c r="M197" i="19" a="1"/>
  <c r="M197" i="19" s="1"/>
  <c r="M214" i="19" a="1"/>
  <c r="M214" i="19" s="1"/>
  <c r="M231" i="19" a="1"/>
  <c r="M231" i="19" s="1"/>
  <c r="M238" i="19" a="1"/>
  <c r="M238" i="19" s="1"/>
  <c r="M245" i="19" a="1"/>
  <c r="M245" i="19" s="1"/>
  <c r="M149" i="19" a="1"/>
  <c r="M149" i="19" s="1"/>
  <c r="M176" i="19" a="1"/>
  <c r="M176" i="19" s="1"/>
  <c r="M208" i="19" a="1"/>
  <c r="M208" i="19" s="1"/>
  <c r="M222" i="19" a="1"/>
  <c r="M222" i="19" s="1"/>
  <c r="M242" i="19" a="1"/>
  <c r="M242" i="19" s="1"/>
  <c r="M249" i="19" a="1"/>
  <c r="M249" i="19" s="1"/>
  <c r="M189" i="19" a="1"/>
  <c r="M189" i="19" s="1"/>
  <c r="M216" i="19" a="1"/>
  <c r="M216" i="19" s="1"/>
  <c r="M239" i="19" a="1"/>
  <c r="M239" i="19" s="1"/>
  <c r="M246" i="19" a="1"/>
  <c r="M246" i="19" s="1"/>
  <c r="M253" i="19" a="1"/>
  <c r="M253" i="19" s="1"/>
  <c r="M77" i="19" a="1"/>
  <c r="M77" i="19" s="1"/>
  <c r="M133" i="19" a="1"/>
  <c r="M133" i="19" s="1"/>
  <c r="M168" i="19" a="1"/>
  <c r="M168" i="19" s="1"/>
  <c r="M200" i="19" a="1"/>
  <c r="M200" i="19" s="1"/>
  <c r="M224" i="19" a="1"/>
  <c r="M224" i="19" s="1"/>
  <c r="M232" i="19" a="1"/>
  <c r="M232" i="19" s="1"/>
  <c r="M250" i="19" a="1"/>
  <c r="M250" i="19" s="1"/>
  <c r="M81" i="19" a="1"/>
  <c r="M81" i="19" s="1"/>
  <c r="M247" i="19" a="1"/>
  <c r="M247" i="19" s="1"/>
  <c r="M157" i="19" a="1"/>
  <c r="M157" i="19" s="1"/>
  <c r="M229" i="19" a="1"/>
  <c r="M229" i="19" s="1"/>
  <c r="M181" i="19" a="1"/>
  <c r="M181" i="19" s="1"/>
  <c r="M6" i="19" a="1"/>
  <c r="M6" i="19" s="1"/>
  <c r="O256" i="19" l="1"/>
  <c r="O258" i="19"/>
  <c r="O257" i="19"/>
  <c r="O255" i="19"/>
  <c r="O247" i="19"/>
  <c r="O238" i="19"/>
  <c r="O248" i="19"/>
  <c r="O230" i="19"/>
  <c r="O254" i="19"/>
  <c r="O227" i="19"/>
  <c r="O163" i="19"/>
  <c r="O49" i="19"/>
  <c r="O113" i="19"/>
  <c r="O24" i="19"/>
  <c r="O178" i="19"/>
  <c r="O85" i="19"/>
  <c r="O191" i="19"/>
  <c r="O127" i="19"/>
  <c r="O80" i="19"/>
  <c r="O196" i="19"/>
  <c r="O132" i="19"/>
  <c r="U11" i="18"/>
  <c r="O225" i="19"/>
  <c r="O161" i="19"/>
  <c r="O56" i="19"/>
  <c r="O158" i="19"/>
  <c r="O114" i="19"/>
  <c r="O8" i="19"/>
  <c r="O50" i="19"/>
  <c r="O47" i="19"/>
  <c r="O108" i="19"/>
  <c r="O44" i="19"/>
  <c r="O102" i="19"/>
  <c r="O38" i="19"/>
  <c r="O81" i="19"/>
  <c r="O250" i="19"/>
  <c r="O231" i="19"/>
  <c r="O241" i="19"/>
  <c r="O213" i="19"/>
  <c r="O240" i="19"/>
  <c r="O219" i="19"/>
  <c r="O155" i="19"/>
  <c r="O32" i="19"/>
  <c r="O110" i="19"/>
  <c r="O16" i="19"/>
  <c r="O170" i="19"/>
  <c r="O72" i="19"/>
  <c r="O183" i="19"/>
  <c r="O121" i="19"/>
  <c r="O67" i="19"/>
  <c r="O252" i="19"/>
  <c r="O188" i="19"/>
  <c r="O105" i="19"/>
  <c r="O217" i="19"/>
  <c r="O153" i="19"/>
  <c r="U7" i="18"/>
  <c r="O40" i="19"/>
  <c r="O150" i="19"/>
  <c r="O111" i="19"/>
  <c r="O106" i="19"/>
  <c r="O42" i="19"/>
  <c r="O39" i="19"/>
  <c r="O100" i="19"/>
  <c r="O36" i="19"/>
  <c r="O94" i="19"/>
  <c r="O30" i="19"/>
  <c r="O229" i="19"/>
  <c r="O232" i="19"/>
  <c r="O249" i="19"/>
  <c r="O214" i="19"/>
  <c r="O234" i="19"/>
  <c r="O205" i="19"/>
  <c r="O233" i="19"/>
  <c r="O211" i="19"/>
  <c r="O147" i="19"/>
  <c r="U6" i="18"/>
  <c r="O25" i="19"/>
  <c r="O107" i="19"/>
  <c r="O226" i="19"/>
  <c r="O162" i="19"/>
  <c r="O53" i="19"/>
  <c r="U10" i="18"/>
  <c r="O175" i="19"/>
  <c r="O118" i="19"/>
  <c r="O57" i="19"/>
  <c r="O244" i="19"/>
  <c r="O180" i="19"/>
  <c r="O101" i="19"/>
  <c r="O209" i="19"/>
  <c r="O145" i="19"/>
  <c r="O206" i="19"/>
  <c r="O142" i="19"/>
  <c r="O104" i="19"/>
  <c r="O98" i="19"/>
  <c r="O34" i="19"/>
  <c r="O31" i="19"/>
  <c r="O92" i="19"/>
  <c r="O28" i="19"/>
  <c r="O86" i="19"/>
  <c r="O22" i="19"/>
  <c r="U3" i="18"/>
  <c r="O6" i="19"/>
  <c r="O157" i="19"/>
  <c r="O224" i="19"/>
  <c r="O253" i="19"/>
  <c r="O242" i="19"/>
  <c r="O197" i="19"/>
  <c r="O221" i="19"/>
  <c r="O173" i="19"/>
  <c r="O192" i="19"/>
  <c r="O203" i="19"/>
  <c r="O139" i="19"/>
  <c r="O160" i="19"/>
  <c r="O103" i="19"/>
  <c r="O218" i="19"/>
  <c r="O154" i="19"/>
  <c r="O37" i="19"/>
  <c r="O167" i="19"/>
  <c r="O115" i="19"/>
  <c r="O41" i="19"/>
  <c r="O236" i="19"/>
  <c r="O172" i="19"/>
  <c r="O88" i="19"/>
  <c r="O201" i="19"/>
  <c r="O137" i="19"/>
  <c r="O198" i="19"/>
  <c r="O134" i="19"/>
  <c r="O91" i="19"/>
  <c r="O90" i="19"/>
  <c r="O26" i="19"/>
  <c r="O23" i="19"/>
  <c r="O84" i="19"/>
  <c r="O20" i="19"/>
  <c r="O78" i="19"/>
  <c r="O14" i="19"/>
  <c r="O181" i="19"/>
  <c r="O200" i="19"/>
  <c r="O246" i="19"/>
  <c r="O222" i="19"/>
  <c r="O165" i="19"/>
  <c r="O184" i="19"/>
  <c r="O141" i="19"/>
  <c r="O48" i="19"/>
  <c r="O195" i="19"/>
  <c r="O131" i="19"/>
  <c r="O152" i="19"/>
  <c r="O73" i="19"/>
  <c r="O210" i="19"/>
  <c r="O146" i="19"/>
  <c r="O223" i="19"/>
  <c r="O159" i="19"/>
  <c r="O112" i="19"/>
  <c r="O29" i="19"/>
  <c r="O228" i="19"/>
  <c r="O164" i="19"/>
  <c r="O75" i="19"/>
  <c r="O193" i="19"/>
  <c r="O129" i="19"/>
  <c r="O190" i="19"/>
  <c r="O126" i="19"/>
  <c r="O87" i="19"/>
  <c r="O82" i="19"/>
  <c r="U5" i="18"/>
  <c r="O18" i="19"/>
  <c r="O15" i="19"/>
  <c r="O76" i="19"/>
  <c r="U4" i="18"/>
  <c r="O12" i="19"/>
  <c r="P256" i="19" s="1" a="1"/>
  <c r="P256" i="19" s="1"/>
  <c r="O70" i="19"/>
  <c r="O35" i="19"/>
  <c r="O168" i="19"/>
  <c r="O239" i="19"/>
  <c r="O208" i="19"/>
  <c r="O125" i="19"/>
  <c r="O122" i="19"/>
  <c r="O119" i="19"/>
  <c r="O251" i="19"/>
  <c r="O187" i="19"/>
  <c r="O99" i="19"/>
  <c r="O144" i="19"/>
  <c r="O69" i="19"/>
  <c r="O202" i="19"/>
  <c r="O138" i="19"/>
  <c r="O215" i="19"/>
  <c r="O151" i="19"/>
  <c r="U9" i="18"/>
  <c r="O109" i="19"/>
  <c r="O13" i="19"/>
  <c r="O220" i="19"/>
  <c r="O156" i="19"/>
  <c r="O71" i="19"/>
  <c r="O185" i="19"/>
  <c r="O96" i="19"/>
  <c r="O182" i="19"/>
  <c r="O123" i="19"/>
  <c r="O61" i="19"/>
  <c r="O74" i="19"/>
  <c r="O10" i="19"/>
  <c r="O68" i="19"/>
  <c r="O17" i="19"/>
  <c r="O62" i="19"/>
  <c r="O27" i="19"/>
  <c r="O133" i="19"/>
  <c r="O216" i="19"/>
  <c r="O176" i="19"/>
  <c r="O64" i="19"/>
  <c r="O243" i="19"/>
  <c r="O179" i="19"/>
  <c r="O95" i="19"/>
  <c r="O136" i="19"/>
  <c r="O59" i="19"/>
  <c r="O194" i="19"/>
  <c r="O130" i="19"/>
  <c r="O207" i="19"/>
  <c r="O143" i="19"/>
  <c r="O97" i="19"/>
  <c r="O212" i="19"/>
  <c r="O148" i="19"/>
  <c r="O51" i="19"/>
  <c r="O177" i="19"/>
  <c r="O83" i="19"/>
  <c r="O174" i="19"/>
  <c r="O120" i="19"/>
  <c r="O45" i="19"/>
  <c r="O66" i="19"/>
  <c r="O63" i="19"/>
  <c r="O124" i="19"/>
  <c r="U8" i="18"/>
  <c r="O60" i="19"/>
  <c r="O9" i="19"/>
  <c r="P257" i="19" s="1" a="1"/>
  <c r="P257" i="19" s="1"/>
  <c r="O54" i="19"/>
  <c r="O19" i="19"/>
  <c r="O77" i="19"/>
  <c r="O189" i="19"/>
  <c r="O149" i="19"/>
  <c r="O245" i="19"/>
  <c r="O237" i="19"/>
  <c r="O235" i="19"/>
  <c r="O171" i="19"/>
  <c r="O65" i="19"/>
  <c r="O128" i="19"/>
  <c r="O43" i="19"/>
  <c r="O186" i="19"/>
  <c r="O89" i="19"/>
  <c r="O199" i="19"/>
  <c r="O135" i="19"/>
  <c r="O93" i="19"/>
  <c r="O204" i="19"/>
  <c r="O140" i="19"/>
  <c r="O21" i="19"/>
  <c r="O169" i="19"/>
  <c r="O79" i="19"/>
  <c r="O166" i="19"/>
  <c r="O117" i="19"/>
  <c r="O33" i="19"/>
  <c r="O58" i="19"/>
  <c r="O55" i="19"/>
  <c r="O116" i="19"/>
  <c r="O52" i="19"/>
  <c r="O7" i="19"/>
  <c r="O46" i="19"/>
  <c r="O11" i="19"/>
  <c r="Q256" i="19" l="1"/>
  <c r="R256" i="19"/>
  <c r="S256" i="19" s="1"/>
  <c r="Q257" i="19"/>
  <c r="R257" i="19"/>
  <c r="P258" i="19" a="1"/>
  <c r="P258" i="19" s="1"/>
  <c r="P255" i="19" a="1"/>
  <c r="P255" i="19" s="1"/>
  <c r="P40" i="19" a="1"/>
  <c r="P40" i="19" s="1"/>
  <c r="P72" i="19" a="1"/>
  <c r="P72" i="19" s="1"/>
  <c r="P7" i="19" a="1"/>
  <c r="P7" i="19" s="1"/>
  <c r="P14" i="19" a="1"/>
  <c r="P14" i="19" s="1"/>
  <c r="P44" i="19" a="1"/>
  <c r="P44" i="19" s="1"/>
  <c r="P19" i="19" a="1"/>
  <c r="P19" i="19" s="1"/>
  <c r="P51" i="19" a="1"/>
  <c r="P51" i="19" s="1"/>
  <c r="P104" i="19" a="1"/>
  <c r="P104" i="19" s="1"/>
  <c r="P136" i="19" a="1"/>
  <c r="P136" i="19" s="1"/>
  <c r="P86" i="19" a="1"/>
  <c r="P86" i="19" s="1"/>
  <c r="P118" i="19" a="1"/>
  <c r="P118" i="19" s="1"/>
  <c r="P150" i="19" a="1"/>
  <c r="P150" i="19" s="1"/>
  <c r="P153" i="19" a="1"/>
  <c r="P153" i="19" s="1"/>
  <c r="P197" i="19" a="1"/>
  <c r="P197" i="19" s="1"/>
  <c r="P229" i="19" a="1"/>
  <c r="P229" i="19" s="1"/>
  <c r="P179" i="19" a="1"/>
  <c r="P179" i="19" s="1"/>
  <c r="P211" i="19" a="1"/>
  <c r="P211" i="19" s="1"/>
  <c r="P243" i="19" a="1"/>
  <c r="P243" i="19" s="1"/>
  <c r="P194" i="19" a="1"/>
  <c r="P194" i="19" s="1"/>
  <c r="P226" i="19" a="1"/>
  <c r="P226" i="19" s="1"/>
  <c r="P83" i="19" a="1"/>
  <c r="P83" i="19" s="1"/>
  <c r="P169" i="19" a="1"/>
  <c r="P169" i="19" s="1"/>
  <c r="P201" i="19" a="1"/>
  <c r="P201" i="19" s="1"/>
  <c r="P233" i="19" a="1"/>
  <c r="P233" i="19" s="1"/>
  <c r="P116" i="19" a="1"/>
  <c r="P116" i="19" s="1"/>
  <c r="P167" i="19" a="1"/>
  <c r="P167" i="19" s="1"/>
  <c r="P199" i="19" a="1"/>
  <c r="P199" i="19" s="1"/>
  <c r="P182" i="19" a="1"/>
  <c r="P182" i="19" s="1"/>
  <c r="P214" i="19" a="1"/>
  <c r="P214" i="19" s="1"/>
  <c r="P190" i="19" a="1"/>
  <c r="P190" i="19" s="1"/>
  <c r="P16" i="19" a="1"/>
  <c r="P16" i="19" s="1"/>
  <c r="P17" i="19" a="1"/>
  <c r="P17" i="19" s="1"/>
  <c r="P49" i="19" a="1"/>
  <c r="P49" i="19" s="1"/>
  <c r="P81" i="19" a="1"/>
  <c r="P81" i="19" s="1"/>
  <c r="P47" i="19" a="1"/>
  <c r="P47" i="19" s="1"/>
  <c r="P38" i="19" a="1"/>
  <c r="P38" i="19" s="1"/>
  <c r="P29" i="19" a="1"/>
  <c r="P29" i="19" s="1"/>
  <c r="P61" i="19" a="1"/>
  <c r="P61" i="19" s="1"/>
  <c r="P50" i="19" a="1"/>
  <c r="P50" i="19" s="1"/>
  <c r="P42" i="19" a="1"/>
  <c r="P42" i="19" s="1"/>
  <c r="P103" i="19" a="1"/>
  <c r="P103" i="19" s="1"/>
  <c r="P135" i="19" a="1"/>
  <c r="P135" i="19" s="1"/>
  <c r="P93" i="19" a="1"/>
  <c r="P93" i="19" s="1"/>
  <c r="P125" i="19" a="1"/>
  <c r="P125" i="19" s="1"/>
  <c r="P157" i="19" a="1"/>
  <c r="P157" i="19" s="1"/>
  <c r="P107" i="19" a="1"/>
  <c r="P107" i="19" s="1"/>
  <c r="P139" i="19" a="1"/>
  <c r="P139" i="19" s="1"/>
  <c r="P98" i="19" a="1"/>
  <c r="P98" i="19" s="1"/>
  <c r="P130" i="19" a="1"/>
  <c r="P130" i="19" s="1"/>
  <c r="P162" i="19" a="1"/>
  <c r="P162" i="19" s="1"/>
  <c r="P132" i="19" a="1"/>
  <c r="P132" i="19" s="1"/>
  <c r="P180" i="19" a="1"/>
  <c r="P180" i="19" s="1"/>
  <c r="P212" i="19" a="1"/>
  <c r="P212" i="19" s="1"/>
  <c r="P244" i="19" a="1"/>
  <c r="P244" i="19" s="1"/>
  <c r="P137" i="19" a="1"/>
  <c r="P137" i="19" s="1"/>
  <c r="P97" i="19" a="1"/>
  <c r="P97" i="19" s="1"/>
  <c r="P184" i="19" a="1"/>
  <c r="P184" i="19" s="1"/>
  <c r="P89" i="19" a="1"/>
  <c r="P89" i="19" s="1"/>
  <c r="P230" i="19" a="1"/>
  <c r="P230" i="19" s="1"/>
  <c r="P240" i="19" a="1"/>
  <c r="P240" i="19" s="1"/>
  <c r="P216" i="19" a="1"/>
  <c r="P216" i="19" s="1"/>
  <c r="P206" i="19" a="1"/>
  <c r="P206" i="19" s="1"/>
  <c r="P224" i="19" a="1"/>
  <c r="P224" i="19" s="1"/>
  <c r="P12" i="19" a="1"/>
  <c r="P12" i="19" s="1"/>
  <c r="P48" i="19" a="1"/>
  <c r="P48" i="19" s="1"/>
  <c r="P11" i="19" a="1"/>
  <c r="P11" i="19" s="1"/>
  <c r="P20" i="19" a="1"/>
  <c r="P20" i="19" s="1"/>
  <c r="P52" i="19" a="1"/>
  <c r="P52" i="19" s="1"/>
  <c r="P27" i="19" a="1"/>
  <c r="P27" i="19" s="1"/>
  <c r="P59" i="19" a="1"/>
  <c r="P59" i="19" s="1"/>
  <c r="P70" i="19" a="1"/>
  <c r="P70" i="19" s="1"/>
  <c r="P112" i="19" a="1"/>
  <c r="P112" i="19" s="1"/>
  <c r="P144" i="19" a="1"/>
  <c r="P144" i="19" s="1"/>
  <c r="P66" i="19" a="1"/>
  <c r="P66" i="19" s="1"/>
  <c r="P94" i="19" a="1"/>
  <c r="P94" i="19" s="1"/>
  <c r="P126" i="19" a="1"/>
  <c r="P126" i="19" s="1"/>
  <c r="P158" i="19" a="1"/>
  <c r="P158" i="19" s="1"/>
  <c r="P173" i="19" a="1"/>
  <c r="P173" i="19" s="1"/>
  <c r="P205" i="19" a="1"/>
  <c r="P205" i="19" s="1"/>
  <c r="P237" i="19" a="1"/>
  <c r="P237" i="19" s="1"/>
  <c r="P187" i="19" a="1"/>
  <c r="P187" i="19" s="1"/>
  <c r="P219" i="19" a="1"/>
  <c r="P219" i="19" s="1"/>
  <c r="P251" i="19" a="1"/>
  <c r="P251" i="19" s="1"/>
  <c r="P170" i="19" a="1"/>
  <c r="P170" i="19" s="1"/>
  <c r="P202" i="19" a="1"/>
  <c r="P202" i="19" s="1"/>
  <c r="P234" i="19" a="1"/>
  <c r="P234" i="19" s="1"/>
  <c r="P177" i="19" a="1"/>
  <c r="P177" i="19" s="1"/>
  <c r="P209" i="19" a="1"/>
  <c r="P209" i="19" s="1"/>
  <c r="P241" i="19" a="1"/>
  <c r="P241" i="19" s="1"/>
  <c r="P147" i="19" a="1"/>
  <c r="P147" i="19" s="1"/>
  <c r="P175" i="19" a="1"/>
  <c r="P175" i="19" s="1"/>
  <c r="P207" i="19" a="1"/>
  <c r="P207" i="19" s="1"/>
  <c r="P222" i="19" a="1"/>
  <c r="P222" i="19" s="1"/>
  <c r="P232" i="19" a="1"/>
  <c r="P232" i="19" s="1"/>
  <c r="P238" i="19" a="1"/>
  <c r="P238" i="19" s="1"/>
  <c r="P25" i="19" a="1"/>
  <c r="P25" i="19" s="1"/>
  <c r="P57" i="19" a="1"/>
  <c r="P57" i="19" s="1"/>
  <c r="P23" i="19" a="1"/>
  <c r="P23" i="19" s="1"/>
  <c r="P55" i="19" a="1"/>
  <c r="P55" i="19" s="1"/>
  <c r="P15" i="19" a="1"/>
  <c r="P15" i="19" s="1"/>
  <c r="P46" i="19" a="1"/>
  <c r="P46" i="19" s="1"/>
  <c r="P37" i="19" a="1"/>
  <c r="P37" i="19" s="1"/>
  <c r="P69" i="19" a="1"/>
  <c r="P69" i="19" s="1"/>
  <c r="P79" i="19" a="1"/>
  <c r="P79" i="19" s="1"/>
  <c r="P111" i="19" a="1"/>
  <c r="P111" i="19" s="1"/>
  <c r="P143" i="19" a="1"/>
  <c r="P143" i="19" s="1"/>
  <c r="P101" i="19" a="1"/>
  <c r="P101" i="19" s="1"/>
  <c r="P133" i="19" a="1"/>
  <c r="P133" i="19" s="1"/>
  <c r="P165" i="19" a="1"/>
  <c r="P165" i="19" s="1"/>
  <c r="P84" i="19" a="1"/>
  <c r="P84" i="19" s="1"/>
  <c r="P115" i="19" a="1"/>
  <c r="P115" i="19" s="1"/>
  <c r="P106" i="19" a="1"/>
  <c r="P106" i="19" s="1"/>
  <c r="P138" i="19" a="1"/>
  <c r="P138" i="19" s="1"/>
  <c r="P151" i="19" a="1"/>
  <c r="P151" i="19" s="1"/>
  <c r="P188" i="19" a="1"/>
  <c r="P188" i="19" s="1"/>
  <c r="P220" i="19" a="1"/>
  <c r="P220" i="19" s="1"/>
  <c r="P156" i="19" a="1"/>
  <c r="P156" i="19" s="1"/>
  <c r="P18" i="19" a="1"/>
  <c r="P18" i="19" s="1"/>
  <c r="P129" i="19" a="1"/>
  <c r="P129" i="19" s="1"/>
  <c r="P192" i="19" a="1"/>
  <c r="P192" i="19" s="1"/>
  <c r="P121" i="19" a="1"/>
  <c r="P121" i="19" s="1"/>
  <c r="P254" i="19" a="1"/>
  <c r="P254" i="19" s="1"/>
  <c r="P248" i="19" a="1"/>
  <c r="P248" i="19" s="1"/>
  <c r="P24" i="19" a="1"/>
  <c r="P24" i="19" s="1"/>
  <c r="P56" i="19" a="1"/>
  <c r="P56" i="19" s="1"/>
  <c r="P28" i="19" a="1"/>
  <c r="P28" i="19" s="1"/>
  <c r="P60" i="19" a="1"/>
  <c r="P60" i="19" s="1"/>
  <c r="P35" i="19" a="1"/>
  <c r="P35" i="19" s="1"/>
  <c r="P67" i="19" a="1"/>
  <c r="P67" i="19" s="1"/>
  <c r="P88" i="19" a="1"/>
  <c r="P88" i="19" s="1"/>
  <c r="P120" i="19" a="1"/>
  <c r="P120" i="19" s="1"/>
  <c r="P152" i="19" a="1"/>
  <c r="P152" i="19" s="1"/>
  <c r="P82" i="19" a="1"/>
  <c r="P82" i="19" s="1"/>
  <c r="P102" i="19" a="1"/>
  <c r="P102" i="19" s="1"/>
  <c r="P134" i="19" a="1"/>
  <c r="P134" i="19" s="1"/>
  <c r="P166" i="19" a="1"/>
  <c r="P166" i="19" s="1"/>
  <c r="P113" i="19" a="1"/>
  <c r="P113" i="19" s="1"/>
  <c r="P181" i="19" a="1"/>
  <c r="P181" i="19" s="1"/>
  <c r="P213" i="19" a="1"/>
  <c r="P213" i="19" s="1"/>
  <c r="P245" i="19" a="1"/>
  <c r="P245" i="19" s="1"/>
  <c r="P74" i="19" a="1"/>
  <c r="P74" i="19" s="1"/>
  <c r="P160" i="19" a="1"/>
  <c r="P160" i="19" s="1"/>
  <c r="P195" i="19" a="1"/>
  <c r="P195" i="19" s="1"/>
  <c r="P227" i="19" a="1"/>
  <c r="P227" i="19" s="1"/>
  <c r="P76" i="19" a="1"/>
  <c r="P76" i="19" s="1"/>
  <c r="P178" i="19" a="1"/>
  <c r="P178" i="19" s="1"/>
  <c r="P210" i="19" a="1"/>
  <c r="P210" i="19" s="1"/>
  <c r="P242" i="19" a="1"/>
  <c r="P242" i="19" s="1"/>
  <c r="P185" i="19" a="1"/>
  <c r="P185" i="19" s="1"/>
  <c r="P217" i="19" a="1"/>
  <c r="P217" i="19" s="1"/>
  <c r="P249" i="19" a="1"/>
  <c r="P249" i="19" s="1"/>
  <c r="P183" i="19" a="1"/>
  <c r="P183" i="19" s="1"/>
  <c r="P215" i="19" a="1"/>
  <c r="P215" i="19" s="1"/>
  <c r="P247" i="19" a="1"/>
  <c r="P247" i="19" s="1"/>
  <c r="P239" i="19" a="1"/>
  <c r="P239" i="19" s="1"/>
  <c r="P252" i="19" a="1"/>
  <c r="P252" i="19" s="1"/>
  <c r="P33" i="19" a="1"/>
  <c r="P33" i="19" s="1"/>
  <c r="P65" i="19" a="1"/>
  <c r="P65" i="19" s="1"/>
  <c r="P31" i="19" a="1"/>
  <c r="P31" i="19" s="1"/>
  <c r="P63" i="19" a="1"/>
  <c r="P63" i="19" s="1"/>
  <c r="P22" i="19" a="1"/>
  <c r="P22" i="19" s="1"/>
  <c r="P54" i="19" a="1"/>
  <c r="P54" i="19" s="1"/>
  <c r="P45" i="19" a="1"/>
  <c r="P45" i="19" s="1"/>
  <c r="P77" i="19" a="1"/>
  <c r="P77" i="19" s="1"/>
  <c r="P87" i="19" a="1"/>
  <c r="P87" i="19" s="1"/>
  <c r="P119" i="19" a="1"/>
  <c r="P119" i="19" s="1"/>
  <c r="P34" i="19" a="1"/>
  <c r="P34" i="19" s="1"/>
  <c r="P26" i="19" a="1"/>
  <c r="P26" i="19" s="1"/>
  <c r="P109" i="19" a="1"/>
  <c r="P109" i="19" s="1"/>
  <c r="P141" i="19" a="1"/>
  <c r="P141" i="19" s="1"/>
  <c r="P91" i="19" a="1"/>
  <c r="P91" i="19" s="1"/>
  <c r="P123" i="19" a="1"/>
  <c r="P123" i="19" s="1"/>
  <c r="P80" i="19" a="1"/>
  <c r="P80" i="19" s="1"/>
  <c r="P114" i="19" a="1"/>
  <c r="P114" i="19" s="1"/>
  <c r="P146" i="19" a="1"/>
  <c r="P146" i="19" s="1"/>
  <c r="P196" i="19" a="1"/>
  <c r="P196" i="19" s="1"/>
  <c r="P228" i="19" a="1"/>
  <c r="P228" i="19" s="1"/>
  <c r="P92" i="19" a="1"/>
  <c r="P92" i="19" s="1"/>
  <c r="P78" i="19" a="1"/>
  <c r="P78" i="19" s="1"/>
  <c r="P168" i="19" a="1"/>
  <c r="P168" i="19" s="1"/>
  <c r="P200" i="19" a="1"/>
  <c r="P200" i="19" s="1"/>
  <c r="P159" i="19" a="1"/>
  <c r="P159" i="19" s="1"/>
  <c r="P148" i="19" a="1"/>
  <c r="P148" i="19" s="1"/>
  <c r="P231" i="19" a="1"/>
  <c r="P231" i="19" s="1"/>
  <c r="P6" i="19" a="1"/>
  <c r="P6" i="19" s="1"/>
  <c r="P198" i="19" a="1"/>
  <c r="P198" i="19" s="1"/>
  <c r="P32" i="19" a="1"/>
  <c r="P32" i="19" s="1"/>
  <c r="P64" i="19" a="1"/>
  <c r="P64" i="19" s="1"/>
  <c r="P10" i="19" a="1"/>
  <c r="P10" i="19" s="1"/>
  <c r="P36" i="19" a="1"/>
  <c r="P36" i="19" s="1"/>
  <c r="P68" i="19" a="1"/>
  <c r="P68" i="19" s="1"/>
  <c r="P43" i="19" a="1"/>
  <c r="P43" i="19" s="1"/>
  <c r="P75" i="19" a="1"/>
  <c r="P75" i="19" s="1"/>
  <c r="P96" i="19" a="1"/>
  <c r="P96" i="19" s="1"/>
  <c r="P128" i="19" a="1"/>
  <c r="P128" i="19" s="1"/>
  <c r="P110" i="19" a="1"/>
  <c r="P110" i="19" s="1"/>
  <c r="P142" i="19" a="1"/>
  <c r="P142" i="19" s="1"/>
  <c r="P145" i="19" a="1"/>
  <c r="P145" i="19" s="1"/>
  <c r="P189" i="19" a="1"/>
  <c r="P189" i="19" s="1"/>
  <c r="P221" i="19" a="1"/>
  <c r="P221" i="19" s="1"/>
  <c r="P253" i="19" a="1"/>
  <c r="P253" i="19" s="1"/>
  <c r="P171" i="19" a="1"/>
  <c r="P171" i="19" s="1"/>
  <c r="P203" i="19" a="1"/>
  <c r="P203" i="19" s="1"/>
  <c r="P235" i="19" a="1"/>
  <c r="P235" i="19" s="1"/>
  <c r="P186" i="19" a="1"/>
  <c r="P186" i="19" s="1"/>
  <c r="P218" i="19" a="1"/>
  <c r="P218" i="19" s="1"/>
  <c r="P250" i="19" a="1"/>
  <c r="P250" i="19" s="1"/>
  <c r="P164" i="19" a="1"/>
  <c r="P164" i="19" s="1"/>
  <c r="P193" i="19" a="1"/>
  <c r="P193" i="19" s="1"/>
  <c r="P225" i="19" a="1"/>
  <c r="P225" i="19" s="1"/>
  <c r="P161" i="19" a="1"/>
  <c r="P161" i="19" s="1"/>
  <c r="P191" i="19" a="1"/>
  <c r="P191" i="19" s="1"/>
  <c r="P108" i="19" a="1"/>
  <c r="P108" i="19" s="1"/>
  <c r="P174" i="19" a="1"/>
  <c r="P174" i="19" s="1"/>
  <c r="P246" i="19" a="1"/>
  <c r="P246" i="19" s="1"/>
  <c r="P155" i="19" a="1"/>
  <c r="P155" i="19" s="1"/>
  <c r="P140" i="19" a="1"/>
  <c r="P140" i="19" s="1"/>
  <c r="P223" i="19" a="1"/>
  <c r="P223" i="19" s="1"/>
  <c r="P8" i="19" a="1"/>
  <c r="P8" i="19" s="1"/>
  <c r="P41" i="19" a="1"/>
  <c r="P41" i="19" s="1"/>
  <c r="P73" i="19" a="1"/>
  <c r="P73" i="19" s="1"/>
  <c r="P39" i="19" a="1"/>
  <c r="P39" i="19" s="1"/>
  <c r="P71" i="19" a="1"/>
  <c r="P71" i="19" s="1"/>
  <c r="P30" i="19" a="1"/>
  <c r="P30" i="19" s="1"/>
  <c r="P62" i="19" a="1"/>
  <c r="P62" i="19" s="1"/>
  <c r="P21" i="19" a="1"/>
  <c r="P21" i="19" s="1"/>
  <c r="P53" i="19" a="1"/>
  <c r="P53" i="19" s="1"/>
  <c r="P85" i="19" a="1"/>
  <c r="P85" i="19" s="1"/>
  <c r="P13" i="19" a="1"/>
  <c r="P13" i="19" s="1"/>
  <c r="P95" i="19" a="1"/>
  <c r="P95" i="19" s="1"/>
  <c r="P127" i="19" a="1"/>
  <c r="P127" i="19" s="1"/>
  <c r="P117" i="19" a="1"/>
  <c r="P117" i="19" s="1"/>
  <c r="P149" i="19" a="1"/>
  <c r="P149" i="19" s="1"/>
  <c r="P9" i="19" a="1"/>
  <c r="P9" i="19" s="1"/>
  <c r="P99" i="19" a="1"/>
  <c r="P99" i="19" s="1"/>
  <c r="P131" i="19" a="1"/>
  <c r="P131" i="19" s="1"/>
  <c r="P90" i="19" a="1"/>
  <c r="P90" i="19" s="1"/>
  <c r="P122" i="19" a="1"/>
  <c r="P122" i="19" s="1"/>
  <c r="P154" i="19" a="1"/>
  <c r="P154" i="19" s="1"/>
  <c r="P100" i="19" a="1"/>
  <c r="P100" i="19" s="1"/>
  <c r="P172" i="19" a="1"/>
  <c r="P172" i="19" s="1"/>
  <c r="P204" i="19" a="1"/>
  <c r="P204" i="19" s="1"/>
  <c r="P236" i="19" a="1"/>
  <c r="P236" i="19" s="1"/>
  <c r="P105" i="19" a="1"/>
  <c r="P105" i="19" s="1"/>
  <c r="P124" i="19" a="1"/>
  <c r="P124" i="19" s="1"/>
  <c r="P58" i="19" a="1"/>
  <c r="P58" i="19" s="1"/>
  <c r="P176" i="19" a="1"/>
  <c r="P176" i="19" s="1"/>
  <c r="P208" i="19" a="1"/>
  <c r="P208" i="19" s="1"/>
  <c r="P163" i="19" a="1"/>
  <c r="P163" i="19" s="1"/>
  <c r="S257" i="19" l="1"/>
  <c r="J257" i="19"/>
  <c r="K257" i="19" s="1"/>
  <c r="J256" i="19"/>
  <c r="K256" i="19" s="1"/>
  <c r="R255" i="19"/>
  <c r="Q255" i="19"/>
  <c r="Q258" i="19"/>
  <c r="R258" i="19"/>
  <c r="R208" i="19"/>
  <c r="Q208" i="19"/>
  <c r="Q100" i="19"/>
  <c r="R100" i="19"/>
  <c r="Q117" i="19"/>
  <c r="R117" i="19"/>
  <c r="Q30" i="19"/>
  <c r="R30" i="19"/>
  <c r="R155" i="19"/>
  <c r="Q155" i="19"/>
  <c r="Q164" i="19"/>
  <c r="R164" i="19"/>
  <c r="Q221" i="19"/>
  <c r="R221" i="19"/>
  <c r="Q43" i="19"/>
  <c r="R43" i="19"/>
  <c r="Q231" i="19"/>
  <c r="R231" i="19"/>
  <c r="Q196" i="19"/>
  <c r="R196" i="19"/>
  <c r="Q26" i="19"/>
  <c r="R26" i="19"/>
  <c r="R63" i="19"/>
  <c r="Q63" i="19"/>
  <c r="R183" i="19"/>
  <c r="Q183" i="19"/>
  <c r="R227" i="19"/>
  <c r="Q227" i="19"/>
  <c r="Q166" i="19"/>
  <c r="R166" i="19"/>
  <c r="Q35" i="19"/>
  <c r="R35" i="19"/>
  <c r="R192" i="19"/>
  <c r="Q192" i="19"/>
  <c r="Q106" i="19"/>
  <c r="R106" i="19"/>
  <c r="Q79" i="19"/>
  <c r="R79" i="19"/>
  <c r="Q25" i="19"/>
  <c r="R25" i="19"/>
  <c r="Q209" i="19"/>
  <c r="R209" i="19"/>
  <c r="Q237" i="19"/>
  <c r="R237" i="19"/>
  <c r="R112" i="19"/>
  <c r="Q112" i="19"/>
  <c r="Q12" i="19"/>
  <c r="R12" i="19"/>
  <c r="Q97" i="19"/>
  <c r="R97" i="19"/>
  <c r="Q98" i="19"/>
  <c r="R98" i="19"/>
  <c r="Q42" i="19"/>
  <c r="R42" i="19"/>
  <c r="Q17" i="19"/>
  <c r="R17" i="19"/>
  <c r="Q233" i="19"/>
  <c r="R233" i="19"/>
  <c r="Q179" i="19"/>
  <c r="R179" i="19"/>
  <c r="Q104" i="19"/>
  <c r="R104" i="19"/>
  <c r="R176" i="19"/>
  <c r="Q176" i="19"/>
  <c r="Q154" i="19"/>
  <c r="R154" i="19"/>
  <c r="R127" i="19"/>
  <c r="Q127" i="19"/>
  <c r="Q71" i="19"/>
  <c r="R71" i="19"/>
  <c r="Q246" i="19"/>
  <c r="R246" i="19"/>
  <c r="R250" i="19"/>
  <c r="Q250" i="19"/>
  <c r="Q189" i="19"/>
  <c r="R189" i="19"/>
  <c r="R68" i="19"/>
  <c r="Q68" i="19"/>
  <c r="R148" i="19"/>
  <c r="Q148" i="19"/>
  <c r="Q146" i="19"/>
  <c r="R146" i="19"/>
  <c r="Q34" i="19"/>
  <c r="R34" i="19"/>
  <c r="Q31" i="19"/>
  <c r="R31" i="19"/>
  <c r="Q249" i="19"/>
  <c r="R249" i="19"/>
  <c r="R195" i="19"/>
  <c r="Q195" i="19"/>
  <c r="R134" i="19"/>
  <c r="Q134" i="19"/>
  <c r="R60" i="19"/>
  <c r="Q60" i="19"/>
  <c r="Q129" i="19"/>
  <c r="R129" i="19"/>
  <c r="R115" i="19"/>
  <c r="Q115" i="19"/>
  <c r="Q69" i="19"/>
  <c r="R69" i="19"/>
  <c r="Q238" i="19"/>
  <c r="R238" i="19"/>
  <c r="Q177" i="19"/>
  <c r="R177" i="19"/>
  <c r="Q205" i="19"/>
  <c r="R205" i="19"/>
  <c r="Q70" i="19"/>
  <c r="R70" i="19"/>
  <c r="Q224" i="19"/>
  <c r="R224" i="19"/>
  <c r="Q137" i="19"/>
  <c r="R137" i="19"/>
  <c r="Q139" i="19"/>
  <c r="R139" i="19"/>
  <c r="Q50" i="19"/>
  <c r="R50" i="19"/>
  <c r="Q16" i="19"/>
  <c r="R16" i="19"/>
  <c r="Q201" i="19"/>
  <c r="R201" i="19"/>
  <c r="Q229" i="19"/>
  <c r="R229" i="19"/>
  <c r="Q51" i="19"/>
  <c r="R51" i="19"/>
  <c r="R58" i="19"/>
  <c r="Q58" i="19"/>
  <c r="Q122" i="19"/>
  <c r="R122" i="19"/>
  <c r="Q95" i="19"/>
  <c r="R95" i="19"/>
  <c r="R39" i="19"/>
  <c r="Q39" i="19"/>
  <c r="Q174" i="19"/>
  <c r="R174" i="19"/>
  <c r="R218" i="19"/>
  <c r="Q218" i="19"/>
  <c r="R145" i="19"/>
  <c r="Q145" i="19"/>
  <c r="R36" i="19"/>
  <c r="Q36" i="19"/>
  <c r="Q159" i="19"/>
  <c r="R159" i="19"/>
  <c r="Q114" i="19"/>
  <c r="R114" i="19"/>
  <c r="Q119" i="19"/>
  <c r="R119" i="19"/>
  <c r="R65" i="19"/>
  <c r="Q65" i="19"/>
  <c r="Q217" i="19"/>
  <c r="R217" i="19"/>
  <c r="Q160" i="19"/>
  <c r="R160" i="19"/>
  <c r="R102" i="19"/>
  <c r="Q102" i="19"/>
  <c r="Q28" i="19"/>
  <c r="R28" i="19"/>
  <c r="Q18" i="19"/>
  <c r="R18" i="19"/>
  <c r="R84" i="19"/>
  <c r="Q84" i="19"/>
  <c r="Q37" i="19"/>
  <c r="R37" i="19"/>
  <c r="R232" i="19"/>
  <c r="Q232" i="19"/>
  <c r="Q234" i="19"/>
  <c r="R234" i="19"/>
  <c r="Q173" i="19"/>
  <c r="R173" i="19"/>
  <c r="Q59" i="19"/>
  <c r="R59" i="19"/>
  <c r="Q206" i="19"/>
  <c r="R206" i="19"/>
  <c r="Q244" i="19"/>
  <c r="R244" i="19"/>
  <c r="R107" i="19"/>
  <c r="Q107" i="19"/>
  <c r="Q61" i="19"/>
  <c r="R61" i="19"/>
  <c r="Q190" i="19"/>
  <c r="R190" i="19"/>
  <c r="Q169" i="19"/>
  <c r="R169" i="19"/>
  <c r="Q197" i="19"/>
  <c r="R197" i="19"/>
  <c r="R19" i="19"/>
  <c r="Q19" i="19"/>
  <c r="Q124" i="19"/>
  <c r="R124" i="19"/>
  <c r="Q90" i="19"/>
  <c r="R90" i="19"/>
  <c r="Q13" i="19"/>
  <c r="R13" i="19"/>
  <c r="Q73" i="19"/>
  <c r="R73" i="19"/>
  <c r="Q108" i="19"/>
  <c r="R108" i="19"/>
  <c r="Q186" i="19"/>
  <c r="R186" i="19"/>
  <c r="R142" i="19"/>
  <c r="Q142" i="19"/>
  <c r="Q10" i="19"/>
  <c r="R10" i="19"/>
  <c r="R200" i="19"/>
  <c r="Q200" i="19"/>
  <c r="R80" i="19"/>
  <c r="Q80" i="19"/>
  <c r="Q87" i="19"/>
  <c r="R87" i="19"/>
  <c r="Q33" i="19"/>
  <c r="R33" i="19"/>
  <c r="Q185" i="19"/>
  <c r="R185" i="19"/>
  <c r="Q74" i="19"/>
  <c r="R74" i="19"/>
  <c r="Q82" i="19"/>
  <c r="R82" i="19"/>
  <c r="Q56" i="19"/>
  <c r="R56" i="19"/>
  <c r="Q156" i="19"/>
  <c r="R156" i="19"/>
  <c r="Q165" i="19"/>
  <c r="R165" i="19"/>
  <c r="Q46" i="19"/>
  <c r="R46" i="19"/>
  <c r="Q222" i="19"/>
  <c r="R222" i="19"/>
  <c r="Q202" i="19"/>
  <c r="R202" i="19"/>
  <c r="Q158" i="19"/>
  <c r="R158" i="19"/>
  <c r="R27" i="19"/>
  <c r="Q27" i="19"/>
  <c r="R216" i="19"/>
  <c r="Q216" i="19"/>
  <c r="Q212" i="19"/>
  <c r="R212" i="19"/>
  <c r="R157" i="19"/>
  <c r="Q157" i="19"/>
  <c r="Q29" i="19"/>
  <c r="R29" i="19"/>
  <c r="R214" i="19"/>
  <c r="Q214" i="19"/>
  <c r="Q83" i="19"/>
  <c r="R83" i="19"/>
  <c r="R153" i="19"/>
  <c r="Q153" i="19"/>
  <c r="Q44" i="19"/>
  <c r="R44" i="19"/>
  <c r="Q105" i="19"/>
  <c r="R105" i="19"/>
  <c r="R131" i="19"/>
  <c r="Q131" i="19"/>
  <c r="Q85" i="19"/>
  <c r="R85" i="19"/>
  <c r="R41" i="19"/>
  <c r="Q41" i="19"/>
  <c r="Q191" i="19"/>
  <c r="R191" i="19"/>
  <c r="Q235" i="19"/>
  <c r="R235" i="19"/>
  <c r="R110" i="19"/>
  <c r="Q110" i="19"/>
  <c r="R64" i="19"/>
  <c r="Q64" i="19"/>
  <c r="R168" i="19"/>
  <c r="Q168" i="19"/>
  <c r="R123" i="19"/>
  <c r="Q123" i="19"/>
  <c r="Q77" i="19"/>
  <c r="R77" i="19"/>
  <c r="Q252" i="19"/>
  <c r="R252" i="19"/>
  <c r="R242" i="19"/>
  <c r="Q242" i="19"/>
  <c r="Q245" i="19"/>
  <c r="R245" i="19"/>
  <c r="Q152" i="19"/>
  <c r="R152" i="19"/>
  <c r="Q24" i="19"/>
  <c r="R24" i="19"/>
  <c r="Q220" i="19"/>
  <c r="R220" i="19"/>
  <c r="Q133" i="19"/>
  <c r="R133" i="19"/>
  <c r="Q15" i="19"/>
  <c r="R15" i="19"/>
  <c r="Q207" i="19"/>
  <c r="R207" i="19"/>
  <c r="Q170" i="19"/>
  <c r="R170" i="19"/>
  <c r="Q126" i="19"/>
  <c r="R126" i="19"/>
  <c r="R52" i="19"/>
  <c r="Q52" i="19"/>
  <c r="Q240" i="19"/>
  <c r="R240" i="19"/>
  <c r="Q180" i="19"/>
  <c r="R180" i="19"/>
  <c r="Q125" i="19"/>
  <c r="R125" i="19"/>
  <c r="Q38" i="19"/>
  <c r="R38" i="19"/>
  <c r="R182" i="19"/>
  <c r="Q182" i="19"/>
  <c r="R226" i="19"/>
  <c r="Q226" i="19"/>
  <c r="Q150" i="19"/>
  <c r="R150" i="19"/>
  <c r="R14" i="19"/>
  <c r="Q14" i="19"/>
  <c r="Q236" i="19"/>
  <c r="R236" i="19"/>
  <c r="R99" i="19"/>
  <c r="Q99" i="19"/>
  <c r="Q53" i="19"/>
  <c r="R53" i="19"/>
  <c r="Q8" i="19"/>
  <c r="R8" i="19"/>
  <c r="Q161" i="19"/>
  <c r="R161" i="19"/>
  <c r="Q203" i="19"/>
  <c r="R203" i="19"/>
  <c r="Q128" i="19"/>
  <c r="R128" i="19"/>
  <c r="Q32" i="19"/>
  <c r="R32" i="19"/>
  <c r="Q78" i="19"/>
  <c r="R78" i="19"/>
  <c r="Q91" i="19"/>
  <c r="R91" i="19"/>
  <c r="Q45" i="19"/>
  <c r="R45" i="19"/>
  <c r="R239" i="19"/>
  <c r="Q239" i="19"/>
  <c r="Q210" i="19"/>
  <c r="R210" i="19"/>
  <c r="Q213" i="19"/>
  <c r="R213" i="19"/>
  <c r="Q120" i="19"/>
  <c r="R120" i="19"/>
  <c r="R248" i="19"/>
  <c r="Q248" i="19"/>
  <c r="Q188" i="19"/>
  <c r="R188" i="19"/>
  <c r="Q101" i="19"/>
  <c r="R101" i="19"/>
  <c r="Q55" i="19"/>
  <c r="R55" i="19"/>
  <c r="Q175" i="19"/>
  <c r="R175" i="19"/>
  <c r="Q251" i="19"/>
  <c r="R251" i="19"/>
  <c r="R94" i="19"/>
  <c r="Q94" i="19"/>
  <c r="R20" i="19"/>
  <c r="Q20" i="19"/>
  <c r="Q230" i="19"/>
  <c r="R230" i="19"/>
  <c r="Q132" i="19"/>
  <c r="R132" i="19"/>
  <c r="Q93" i="19"/>
  <c r="R93" i="19"/>
  <c r="Q47" i="19"/>
  <c r="R47" i="19"/>
  <c r="Q199" i="19"/>
  <c r="R199" i="19"/>
  <c r="Q194" i="19"/>
  <c r="R194" i="19"/>
  <c r="R118" i="19"/>
  <c r="Q118" i="19"/>
  <c r="Q7" i="19"/>
  <c r="R7" i="19"/>
  <c r="R204" i="19"/>
  <c r="Q204" i="19"/>
  <c r="Q9" i="19"/>
  <c r="R9" i="19"/>
  <c r="Q21" i="19"/>
  <c r="R21" i="19"/>
  <c r="Q223" i="19"/>
  <c r="R223" i="19"/>
  <c r="Q225" i="19"/>
  <c r="R225" i="19"/>
  <c r="Q171" i="19"/>
  <c r="R171" i="19"/>
  <c r="Q96" i="19"/>
  <c r="R96" i="19"/>
  <c r="Q198" i="19"/>
  <c r="R198" i="19"/>
  <c r="Q92" i="19"/>
  <c r="R92" i="19"/>
  <c r="Q141" i="19"/>
  <c r="R141" i="19"/>
  <c r="Q54" i="19"/>
  <c r="R54" i="19"/>
  <c r="Q247" i="19"/>
  <c r="R247" i="19"/>
  <c r="Q178" i="19"/>
  <c r="R178" i="19"/>
  <c r="R181" i="19"/>
  <c r="Q181" i="19"/>
  <c r="Q88" i="19"/>
  <c r="R88" i="19"/>
  <c r="Q254" i="19"/>
  <c r="R254" i="19"/>
  <c r="Q151" i="19"/>
  <c r="R151" i="19"/>
  <c r="Q143" i="19"/>
  <c r="R143" i="19"/>
  <c r="Q23" i="19"/>
  <c r="R23" i="19"/>
  <c r="R147" i="19"/>
  <c r="Q147" i="19"/>
  <c r="Q219" i="19"/>
  <c r="R219" i="19"/>
  <c r="Q66" i="19"/>
  <c r="R66" i="19"/>
  <c r="R11" i="19"/>
  <c r="Q11" i="19"/>
  <c r="Q89" i="19"/>
  <c r="R89" i="19"/>
  <c r="Q162" i="19"/>
  <c r="R162" i="19"/>
  <c r="Q135" i="19"/>
  <c r="R135" i="19"/>
  <c r="Q81" i="19"/>
  <c r="R81" i="19"/>
  <c r="Q167" i="19"/>
  <c r="R167" i="19"/>
  <c r="Q243" i="19"/>
  <c r="R243" i="19"/>
  <c r="R86" i="19"/>
  <c r="Q86" i="19"/>
  <c r="R72" i="19"/>
  <c r="Q72" i="19"/>
  <c r="Q163" i="19"/>
  <c r="R163" i="19"/>
  <c r="Q172" i="19"/>
  <c r="R172" i="19"/>
  <c r="R149" i="19"/>
  <c r="Q149" i="19"/>
  <c r="Q62" i="19"/>
  <c r="R62" i="19"/>
  <c r="R140" i="19"/>
  <c r="Q140" i="19"/>
  <c r="Q193" i="19"/>
  <c r="R193" i="19"/>
  <c r="R253" i="19"/>
  <c r="Q253" i="19"/>
  <c r="Q75" i="19"/>
  <c r="R75" i="19"/>
  <c r="R6" i="19"/>
  <c r="Q6" i="19"/>
  <c r="Q228" i="19"/>
  <c r="R228" i="19"/>
  <c r="Q109" i="19"/>
  <c r="R109" i="19"/>
  <c r="Q22" i="19"/>
  <c r="R22" i="19"/>
  <c r="Q215" i="19"/>
  <c r="R215" i="19"/>
  <c r="Q76" i="19"/>
  <c r="R76" i="19"/>
  <c r="Q113" i="19"/>
  <c r="R113" i="19"/>
  <c r="Q67" i="19"/>
  <c r="R67" i="19"/>
  <c r="Q121" i="19"/>
  <c r="R121" i="19"/>
  <c r="Q138" i="19"/>
  <c r="R138" i="19"/>
  <c r="Q111" i="19"/>
  <c r="R111" i="19"/>
  <c r="Q57" i="19"/>
  <c r="R57" i="19"/>
  <c r="R241" i="19"/>
  <c r="Q241" i="19"/>
  <c r="Q187" i="19"/>
  <c r="R187" i="19"/>
  <c r="R144" i="19"/>
  <c r="Q144" i="19"/>
  <c r="Q48" i="19"/>
  <c r="R48" i="19"/>
  <c r="R184" i="19"/>
  <c r="Q184" i="19"/>
  <c r="Q130" i="19"/>
  <c r="R130" i="19"/>
  <c r="Q103" i="19"/>
  <c r="R103" i="19"/>
  <c r="Q49" i="19"/>
  <c r="R49" i="19"/>
  <c r="Q116" i="19"/>
  <c r="R116" i="19"/>
  <c r="Q211" i="19"/>
  <c r="R211" i="19"/>
  <c r="R136" i="19"/>
  <c r="Q136" i="19"/>
  <c r="R40" i="19"/>
  <c r="Q40" i="19"/>
  <c r="S258" i="19" l="1"/>
  <c r="J258" i="19"/>
  <c r="K258" i="19" s="1"/>
  <c r="S255" i="19"/>
  <c r="J255" i="19"/>
  <c r="K255" i="19" s="1"/>
  <c r="S49" i="19"/>
  <c r="J49" i="19"/>
  <c r="K49" i="19" s="1"/>
  <c r="S22" i="19"/>
  <c r="J22" i="19"/>
  <c r="K22" i="19" s="1"/>
  <c r="S21" i="19"/>
  <c r="J21" i="19"/>
  <c r="K21" i="19" s="1"/>
  <c r="S103" i="19"/>
  <c r="J103" i="19"/>
  <c r="K103" i="19" s="1"/>
  <c r="S111" i="19"/>
  <c r="J111" i="19"/>
  <c r="K111" i="19" s="1"/>
  <c r="S113" i="19"/>
  <c r="J113" i="19"/>
  <c r="K113" i="19" s="1"/>
  <c r="V9" i="18"/>
  <c r="S109" i="19"/>
  <c r="J109" i="19"/>
  <c r="K109" i="19" s="1"/>
  <c r="J135" i="19"/>
  <c r="K135" i="19" s="1"/>
  <c r="S135" i="19"/>
  <c r="S66" i="19"/>
  <c r="J66" i="19"/>
  <c r="K66" i="19" s="1"/>
  <c r="S143" i="19"/>
  <c r="J143" i="19"/>
  <c r="K143" i="19" s="1"/>
  <c r="S141" i="19"/>
  <c r="J141" i="19"/>
  <c r="K141" i="19" s="1"/>
  <c r="S171" i="19"/>
  <c r="J171" i="19"/>
  <c r="K171" i="19" s="1"/>
  <c r="S9" i="19"/>
  <c r="J9" i="19"/>
  <c r="K9" i="19" s="1"/>
  <c r="S194" i="19"/>
  <c r="J194" i="19"/>
  <c r="K194" i="19" s="1"/>
  <c r="S132" i="19"/>
  <c r="J132" i="19"/>
  <c r="K132" i="19" s="1"/>
  <c r="J251" i="19"/>
  <c r="K251" i="19" s="1"/>
  <c r="S251" i="19"/>
  <c r="J188" i="19"/>
  <c r="K188" i="19" s="1"/>
  <c r="S188" i="19"/>
  <c r="S210" i="19"/>
  <c r="J210" i="19"/>
  <c r="K210" i="19" s="1"/>
  <c r="S78" i="19"/>
  <c r="J78" i="19"/>
  <c r="K78" i="19" s="1"/>
  <c r="S161" i="19"/>
  <c r="J161" i="19"/>
  <c r="K161" i="19" s="1"/>
  <c r="J236" i="19"/>
  <c r="K236" i="19" s="1"/>
  <c r="S236" i="19"/>
  <c r="J240" i="19"/>
  <c r="K240" i="19" s="1"/>
  <c r="S240" i="19"/>
  <c r="S207" i="19"/>
  <c r="J207" i="19"/>
  <c r="K207" i="19" s="1"/>
  <c r="S24" i="19"/>
  <c r="J24" i="19"/>
  <c r="K24" i="19" s="1"/>
  <c r="S252" i="19"/>
  <c r="J252" i="19"/>
  <c r="K252" i="19" s="1"/>
  <c r="S44" i="19"/>
  <c r="J44" i="19"/>
  <c r="K44" i="19" s="1"/>
  <c r="S29" i="19"/>
  <c r="J29" i="19"/>
  <c r="K29" i="19" s="1"/>
  <c r="S46" i="19"/>
  <c r="J46" i="19"/>
  <c r="K46" i="19" s="1"/>
  <c r="S82" i="19"/>
  <c r="J82" i="19"/>
  <c r="K82" i="19" s="1"/>
  <c r="S87" i="19"/>
  <c r="J87" i="19"/>
  <c r="K87" i="19" s="1"/>
  <c r="S13" i="19"/>
  <c r="J13" i="19"/>
  <c r="K13" i="19" s="1"/>
  <c r="S197" i="19"/>
  <c r="J197" i="19"/>
  <c r="K197" i="19" s="1"/>
  <c r="J173" i="19"/>
  <c r="K173" i="19" s="1"/>
  <c r="S173" i="19"/>
  <c r="J160" i="19"/>
  <c r="K160" i="19" s="1"/>
  <c r="S160" i="19"/>
  <c r="S114" i="19"/>
  <c r="J114" i="19"/>
  <c r="K114" i="19" s="1"/>
  <c r="S122" i="19"/>
  <c r="J122" i="19"/>
  <c r="K122" i="19" s="1"/>
  <c r="J201" i="19"/>
  <c r="K201" i="19" s="1"/>
  <c r="S201" i="19"/>
  <c r="S137" i="19"/>
  <c r="J137" i="19"/>
  <c r="K137" i="19" s="1"/>
  <c r="J177" i="19"/>
  <c r="K177" i="19" s="1"/>
  <c r="S177" i="19"/>
  <c r="S129" i="19"/>
  <c r="J129" i="19"/>
  <c r="K129" i="19" s="1"/>
  <c r="S249" i="19"/>
  <c r="J249" i="19"/>
  <c r="K249" i="19" s="1"/>
  <c r="S246" i="19"/>
  <c r="J246" i="19"/>
  <c r="K246" i="19" s="1"/>
  <c r="S17" i="19"/>
  <c r="J17" i="19"/>
  <c r="K17" i="19" s="1"/>
  <c r="V4" i="18"/>
  <c r="S12" i="19"/>
  <c r="J12" i="19"/>
  <c r="K12" i="19" s="1"/>
  <c r="V6" i="18"/>
  <c r="S25" i="19"/>
  <c r="J25" i="19"/>
  <c r="K25" i="19" s="1"/>
  <c r="J35" i="19"/>
  <c r="K35" i="19" s="1"/>
  <c r="S35" i="19"/>
  <c r="S43" i="19"/>
  <c r="J43" i="19"/>
  <c r="K43" i="19" s="1"/>
  <c r="S30" i="19"/>
  <c r="J30" i="19"/>
  <c r="K30" i="19" s="1"/>
  <c r="J57" i="19"/>
  <c r="K57" i="19" s="1"/>
  <c r="S57" i="19"/>
  <c r="S62" i="19"/>
  <c r="J62" i="19"/>
  <c r="K62" i="19" s="1"/>
  <c r="S88" i="19"/>
  <c r="J88" i="19"/>
  <c r="K88" i="19" s="1"/>
  <c r="J136" i="19"/>
  <c r="K136" i="19" s="1"/>
  <c r="S136" i="19"/>
  <c r="J144" i="19"/>
  <c r="K144" i="19" s="1"/>
  <c r="S144" i="19"/>
  <c r="S253" i="19"/>
  <c r="J253" i="19"/>
  <c r="K253" i="19" s="1"/>
  <c r="S149" i="19"/>
  <c r="J149" i="19"/>
  <c r="K149" i="19" s="1"/>
  <c r="S86" i="19"/>
  <c r="J86" i="19"/>
  <c r="K86" i="19" s="1"/>
  <c r="S181" i="19"/>
  <c r="J181" i="19"/>
  <c r="K181" i="19" s="1"/>
  <c r="S182" i="19"/>
  <c r="J182" i="19"/>
  <c r="K182" i="19" s="1"/>
  <c r="J64" i="19"/>
  <c r="K64" i="19" s="1"/>
  <c r="S64" i="19"/>
  <c r="S41" i="19"/>
  <c r="J41" i="19"/>
  <c r="K41" i="19" s="1"/>
  <c r="S27" i="19"/>
  <c r="J27" i="19"/>
  <c r="K27" i="19" s="1"/>
  <c r="J142" i="19"/>
  <c r="K142" i="19" s="1"/>
  <c r="S142" i="19"/>
  <c r="S107" i="19"/>
  <c r="J107" i="19"/>
  <c r="K107" i="19" s="1"/>
  <c r="S84" i="19"/>
  <c r="J84" i="19"/>
  <c r="K84" i="19" s="1"/>
  <c r="J218" i="19"/>
  <c r="K218" i="19" s="1"/>
  <c r="S218" i="19"/>
  <c r="S148" i="19"/>
  <c r="J148" i="19"/>
  <c r="K148" i="19" s="1"/>
  <c r="S176" i="19"/>
  <c r="J176" i="19"/>
  <c r="K176" i="19" s="1"/>
  <c r="S63" i="19"/>
  <c r="J63" i="19"/>
  <c r="K63" i="19" s="1"/>
  <c r="S211" i="19"/>
  <c r="J211" i="19"/>
  <c r="K211" i="19" s="1"/>
  <c r="S76" i="19"/>
  <c r="J76" i="19"/>
  <c r="K76" i="19" s="1"/>
  <c r="J243" i="19"/>
  <c r="K243" i="19" s="1"/>
  <c r="S243" i="19"/>
  <c r="S162" i="19"/>
  <c r="J162" i="19"/>
  <c r="K162" i="19" s="1"/>
  <c r="S219" i="19"/>
  <c r="J219" i="19"/>
  <c r="K219" i="19" s="1"/>
  <c r="V11" i="18"/>
  <c r="S225" i="19"/>
  <c r="J225" i="19"/>
  <c r="K225" i="19" s="1"/>
  <c r="S199" i="19"/>
  <c r="J199" i="19"/>
  <c r="K199" i="19" s="1"/>
  <c r="S230" i="19"/>
  <c r="J230" i="19"/>
  <c r="K230" i="19" s="1"/>
  <c r="V10" i="18"/>
  <c r="S175" i="19"/>
  <c r="J175" i="19"/>
  <c r="K175" i="19" s="1"/>
  <c r="S32" i="19"/>
  <c r="J32" i="19"/>
  <c r="K32" i="19" s="1"/>
  <c r="S8" i="19"/>
  <c r="J8" i="19"/>
  <c r="K8" i="19" s="1"/>
  <c r="S38" i="19"/>
  <c r="J38" i="19"/>
  <c r="K38" i="19" s="1"/>
  <c r="J15" i="19"/>
  <c r="K15" i="19" s="1"/>
  <c r="S15" i="19"/>
  <c r="J152" i="19"/>
  <c r="K152" i="19" s="1"/>
  <c r="S152" i="19"/>
  <c r="S77" i="19"/>
  <c r="J77" i="19"/>
  <c r="K77" i="19" s="1"/>
  <c r="S85" i="19"/>
  <c r="J85" i="19"/>
  <c r="K85" i="19" s="1"/>
  <c r="J158" i="19"/>
  <c r="K158" i="19" s="1"/>
  <c r="S158" i="19"/>
  <c r="J165" i="19"/>
  <c r="K165" i="19" s="1"/>
  <c r="S165" i="19"/>
  <c r="S74" i="19"/>
  <c r="J74" i="19"/>
  <c r="K74" i="19" s="1"/>
  <c r="S186" i="19"/>
  <c r="J186" i="19"/>
  <c r="K186" i="19" s="1"/>
  <c r="J90" i="19"/>
  <c r="K90" i="19" s="1"/>
  <c r="S90" i="19"/>
  <c r="S169" i="19"/>
  <c r="J169" i="19"/>
  <c r="K169" i="19" s="1"/>
  <c r="J244" i="19"/>
  <c r="K244" i="19" s="1"/>
  <c r="S244" i="19"/>
  <c r="S234" i="19"/>
  <c r="J234" i="19"/>
  <c r="K234" i="19" s="1"/>
  <c r="V5" i="18"/>
  <c r="S18" i="19"/>
  <c r="J18" i="19"/>
  <c r="K18" i="19" s="1"/>
  <c r="J217" i="19"/>
  <c r="K217" i="19" s="1"/>
  <c r="S217" i="19"/>
  <c r="S159" i="19"/>
  <c r="J159" i="19"/>
  <c r="K159" i="19" s="1"/>
  <c r="S174" i="19"/>
  <c r="J174" i="19"/>
  <c r="K174" i="19" s="1"/>
  <c r="S16" i="19"/>
  <c r="J16" i="19"/>
  <c r="K16" i="19" s="1"/>
  <c r="J224" i="19"/>
  <c r="K224" i="19" s="1"/>
  <c r="S224" i="19"/>
  <c r="J238" i="19"/>
  <c r="K238" i="19" s="1"/>
  <c r="S238" i="19"/>
  <c r="S31" i="19"/>
  <c r="J31" i="19"/>
  <c r="K31" i="19" s="1"/>
  <c r="S71" i="19"/>
  <c r="J71" i="19"/>
  <c r="K71" i="19" s="1"/>
  <c r="J104" i="19"/>
  <c r="K104" i="19" s="1"/>
  <c r="S104" i="19"/>
  <c r="S42" i="19"/>
  <c r="J42" i="19"/>
  <c r="K42" i="19" s="1"/>
  <c r="S79" i="19"/>
  <c r="J79" i="19"/>
  <c r="K79" i="19" s="1"/>
  <c r="J166" i="19"/>
  <c r="K166" i="19" s="1"/>
  <c r="S166" i="19"/>
  <c r="J26" i="19"/>
  <c r="K26" i="19" s="1"/>
  <c r="S26" i="19"/>
  <c r="S221" i="19"/>
  <c r="J221" i="19"/>
  <c r="K221" i="19" s="1"/>
  <c r="S117" i="19"/>
  <c r="J117" i="19"/>
  <c r="K117" i="19" s="1"/>
  <c r="J187" i="19"/>
  <c r="K187" i="19" s="1"/>
  <c r="S187" i="19"/>
  <c r="S193" i="19"/>
  <c r="J193" i="19"/>
  <c r="K193" i="19" s="1"/>
  <c r="J178" i="19"/>
  <c r="K178" i="19" s="1"/>
  <c r="S178" i="19"/>
  <c r="J204" i="19"/>
  <c r="K204" i="19" s="1"/>
  <c r="S204" i="19"/>
  <c r="S248" i="19"/>
  <c r="J248" i="19"/>
  <c r="K248" i="19" s="1"/>
  <c r="S239" i="19"/>
  <c r="J239" i="19"/>
  <c r="K239" i="19" s="1"/>
  <c r="S14" i="19"/>
  <c r="J14" i="19"/>
  <c r="K14" i="19" s="1"/>
  <c r="S52" i="19"/>
  <c r="J52" i="19"/>
  <c r="K52" i="19" s="1"/>
  <c r="S110" i="19"/>
  <c r="J110" i="19"/>
  <c r="K110" i="19" s="1"/>
  <c r="S153" i="19"/>
  <c r="J153" i="19"/>
  <c r="K153" i="19" s="1"/>
  <c r="S157" i="19"/>
  <c r="J157" i="19"/>
  <c r="K157" i="19" s="1"/>
  <c r="S80" i="19"/>
  <c r="J80" i="19"/>
  <c r="K80" i="19" s="1"/>
  <c r="J58" i="19"/>
  <c r="K58" i="19" s="1"/>
  <c r="S58" i="19"/>
  <c r="V8" i="18"/>
  <c r="S60" i="19"/>
  <c r="J60" i="19"/>
  <c r="K60" i="19" s="1"/>
  <c r="S68" i="19"/>
  <c r="J68" i="19"/>
  <c r="K68" i="19" s="1"/>
  <c r="J112" i="19"/>
  <c r="K112" i="19" s="1"/>
  <c r="S112" i="19"/>
  <c r="S138" i="19"/>
  <c r="J138" i="19"/>
  <c r="K138" i="19" s="1"/>
  <c r="J172" i="19"/>
  <c r="K172" i="19" s="1"/>
  <c r="S172" i="19"/>
  <c r="J151" i="19"/>
  <c r="K151" i="19" s="1"/>
  <c r="S151" i="19"/>
  <c r="S116" i="19"/>
  <c r="J116" i="19"/>
  <c r="K116" i="19" s="1"/>
  <c r="S121" i="19"/>
  <c r="J121" i="19"/>
  <c r="K121" i="19" s="1"/>
  <c r="S215" i="19"/>
  <c r="J215" i="19"/>
  <c r="K215" i="19" s="1"/>
  <c r="S163" i="19"/>
  <c r="J163" i="19"/>
  <c r="K163" i="19" s="1"/>
  <c r="S167" i="19"/>
  <c r="J167" i="19"/>
  <c r="K167" i="19" s="1"/>
  <c r="S89" i="19"/>
  <c r="J89" i="19"/>
  <c r="K89" i="19" s="1"/>
  <c r="S254" i="19"/>
  <c r="J254" i="19"/>
  <c r="K254" i="19" s="1"/>
  <c r="S247" i="19"/>
  <c r="J247" i="19"/>
  <c r="K247" i="19" s="1"/>
  <c r="J198" i="19"/>
  <c r="K198" i="19" s="1"/>
  <c r="S198" i="19"/>
  <c r="S223" i="19"/>
  <c r="J223" i="19"/>
  <c r="K223" i="19" s="1"/>
  <c r="J7" i="19"/>
  <c r="K7" i="19" s="1"/>
  <c r="S7" i="19"/>
  <c r="S47" i="19"/>
  <c r="J47" i="19"/>
  <c r="K47" i="19" s="1"/>
  <c r="S55" i="19"/>
  <c r="J55" i="19"/>
  <c r="K55" i="19" s="1"/>
  <c r="J120" i="19"/>
  <c r="K120" i="19" s="1"/>
  <c r="S120" i="19"/>
  <c r="S45" i="19"/>
  <c r="J45" i="19"/>
  <c r="K45" i="19" s="1"/>
  <c r="J128" i="19"/>
  <c r="K128" i="19" s="1"/>
  <c r="S128" i="19"/>
  <c r="J53" i="19"/>
  <c r="K53" i="19" s="1"/>
  <c r="S53" i="19"/>
  <c r="S150" i="19"/>
  <c r="J150" i="19"/>
  <c r="K150" i="19" s="1"/>
  <c r="S125" i="19"/>
  <c r="J125" i="19"/>
  <c r="K125" i="19" s="1"/>
  <c r="J126" i="19"/>
  <c r="K126" i="19" s="1"/>
  <c r="S126" i="19"/>
  <c r="S133" i="19"/>
  <c r="J133" i="19"/>
  <c r="K133" i="19" s="1"/>
  <c r="J245" i="19"/>
  <c r="K245" i="19" s="1"/>
  <c r="S245" i="19"/>
  <c r="J235" i="19"/>
  <c r="K235" i="19" s="1"/>
  <c r="S235" i="19"/>
  <c r="S83" i="19"/>
  <c r="J83" i="19"/>
  <c r="K83" i="19" s="1"/>
  <c r="J212" i="19"/>
  <c r="K212" i="19" s="1"/>
  <c r="S212" i="19"/>
  <c r="S202" i="19"/>
  <c r="J202" i="19"/>
  <c r="K202" i="19" s="1"/>
  <c r="J156" i="19"/>
  <c r="K156" i="19" s="1"/>
  <c r="S156" i="19"/>
  <c r="S185" i="19"/>
  <c r="J185" i="19"/>
  <c r="K185" i="19" s="1"/>
  <c r="S108" i="19"/>
  <c r="J108" i="19"/>
  <c r="K108" i="19" s="1"/>
  <c r="S124" i="19"/>
  <c r="J124" i="19"/>
  <c r="K124" i="19" s="1"/>
  <c r="J190" i="19"/>
  <c r="K190" i="19" s="1"/>
  <c r="S190" i="19"/>
  <c r="J206" i="19"/>
  <c r="K206" i="19" s="1"/>
  <c r="S206" i="19"/>
  <c r="S28" i="19"/>
  <c r="J28" i="19"/>
  <c r="K28" i="19" s="1"/>
  <c r="S51" i="19"/>
  <c r="J51" i="19"/>
  <c r="K51" i="19" s="1"/>
  <c r="S50" i="19"/>
  <c r="J50" i="19"/>
  <c r="K50" i="19" s="1"/>
  <c r="S70" i="19"/>
  <c r="J70" i="19"/>
  <c r="K70" i="19" s="1"/>
  <c r="S69" i="19"/>
  <c r="J69" i="19"/>
  <c r="K69" i="19" s="1"/>
  <c r="J34" i="19"/>
  <c r="K34" i="19" s="1"/>
  <c r="S34" i="19"/>
  <c r="J189" i="19"/>
  <c r="K189" i="19" s="1"/>
  <c r="S189" i="19"/>
  <c r="S179" i="19"/>
  <c r="J179" i="19"/>
  <c r="K179" i="19" s="1"/>
  <c r="S98" i="19"/>
  <c r="J98" i="19"/>
  <c r="K98" i="19" s="1"/>
  <c r="J237" i="19"/>
  <c r="K237" i="19" s="1"/>
  <c r="S237" i="19"/>
  <c r="S106" i="19"/>
  <c r="J106" i="19"/>
  <c r="K106" i="19" s="1"/>
  <c r="J196" i="19"/>
  <c r="K196" i="19" s="1"/>
  <c r="S196" i="19"/>
  <c r="S164" i="19"/>
  <c r="J164" i="19"/>
  <c r="K164" i="19" s="1"/>
  <c r="S100" i="19"/>
  <c r="J100" i="19"/>
  <c r="K100" i="19" s="1"/>
  <c r="S130" i="19"/>
  <c r="J130" i="19"/>
  <c r="K130" i="19" s="1"/>
  <c r="J228" i="19"/>
  <c r="K228" i="19" s="1"/>
  <c r="S228" i="19"/>
  <c r="S92" i="19"/>
  <c r="J92" i="19"/>
  <c r="K92" i="19" s="1"/>
  <c r="J184" i="19"/>
  <c r="K184" i="19" s="1"/>
  <c r="S184" i="19"/>
  <c r="S241" i="19"/>
  <c r="J241" i="19"/>
  <c r="K241" i="19" s="1"/>
  <c r="V3" i="18"/>
  <c r="S6" i="19"/>
  <c r="J6" i="19"/>
  <c r="K6" i="19" s="1"/>
  <c r="S140" i="19"/>
  <c r="J140" i="19"/>
  <c r="K140" i="19" s="1"/>
  <c r="S147" i="19"/>
  <c r="J147" i="19"/>
  <c r="K147" i="19" s="1"/>
  <c r="J20" i="19"/>
  <c r="K20" i="19" s="1"/>
  <c r="S20" i="19"/>
  <c r="J123" i="19"/>
  <c r="K123" i="19" s="1"/>
  <c r="S123" i="19"/>
  <c r="S131" i="19"/>
  <c r="J131" i="19"/>
  <c r="K131" i="19" s="1"/>
  <c r="J200" i="19"/>
  <c r="K200" i="19" s="1"/>
  <c r="S200" i="19"/>
  <c r="J232" i="19"/>
  <c r="K232" i="19" s="1"/>
  <c r="S232" i="19"/>
  <c r="S65" i="19"/>
  <c r="J65" i="19"/>
  <c r="K65" i="19" s="1"/>
  <c r="S36" i="19"/>
  <c r="J36" i="19"/>
  <c r="K36" i="19" s="1"/>
  <c r="S39" i="19"/>
  <c r="J39" i="19"/>
  <c r="K39" i="19" s="1"/>
  <c r="S134" i="19"/>
  <c r="J134" i="19"/>
  <c r="K134" i="19" s="1"/>
  <c r="S127" i="19"/>
  <c r="J127" i="19"/>
  <c r="K127" i="19" s="1"/>
  <c r="S227" i="19"/>
  <c r="J227" i="19"/>
  <c r="K227" i="19" s="1"/>
  <c r="S48" i="19"/>
  <c r="J48" i="19"/>
  <c r="K48" i="19" s="1"/>
  <c r="S75" i="19"/>
  <c r="J75" i="19"/>
  <c r="K75" i="19" s="1"/>
  <c r="S81" i="19"/>
  <c r="J81" i="19"/>
  <c r="K81" i="19" s="1"/>
  <c r="S23" i="19"/>
  <c r="J23" i="19"/>
  <c r="K23" i="19" s="1"/>
  <c r="J54" i="19"/>
  <c r="K54" i="19" s="1"/>
  <c r="S54" i="19"/>
  <c r="J93" i="19"/>
  <c r="K93" i="19" s="1"/>
  <c r="S93" i="19"/>
  <c r="J101" i="19"/>
  <c r="K101" i="19" s="1"/>
  <c r="S101" i="19"/>
  <c r="S213" i="19"/>
  <c r="J213" i="19"/>
  <c r="K213" i="19" s="1"/>
  <c r="J91" i="19"/>
  <c r="K91" i="19" s="1"/>
  <c r="S91" i="19"/>
  <c r="S203" i="19"/>
  <c r="J203" i="19"/>
  <c r="K203" i="19" s="1"/>
  <c r="J180" i="19"/>
  <c r="K180" i="19" s="1"/>
  <c r="S180" i="19"/>
  <c r="J170" i="19"/>
  <c r="K170" i="19" s="1"/>
  <c r="S170" i="19"/>
  <c r="S220" i="19"/>
  <c r="J220" i="19"/>
  <c r="K220" i="19" s="1"/>
  <c r="S191" i="19"/>
  <c r="J191" i="19"/>
  <c r="K191" i="19" s="1"/>
  <c r="S105" i="19"/>
  <c r="J105" i="19"/>
  <c r="K105" i="19" s="1"/>
  <c r="S222" i="19"/>
  <c r="J222" i="19"/>
  <c r="K222" i="19" s="1"/>
  <c r="S56" i="19"/>
  <c r="J56" i="19"/>
  <c r="K56" i="19" s="1"/>
  <c r="S33" i="19"/>
  <c r="J33" i="19"/>
  <c r="K33" i="19" s="1"/>
  <c r="J10" i="19"/>
  <c r="K10" i="19" s="1"/>
  <c r="S10" i="19"/>
  <c r="J73" i="19"/>
  <c r="K73" i="19" s="1"/>
  <c r="S73" i="19"/>
  <c r="J61" i="19"/>
  <c r="K61" i="19" s="1"/>
  <c r="S61" i="19"/>
  <c r="S59" i="19"/>
  <c r="J59" i="19"/>
  <c r="K59" i="19" s="1"/>
  <c r="S37" i="19"/>
  <c r="J37" i="19"/>
  <c r="K37" i="19" s="1"/>
  <c r="S119" i="19"/>
  <c r="J119" i="19"/>
  <c r="K119" i="19" s="1"/>
  <c r="S95" i="19"/>
  <c r="J95" i="19"/>
  <c r="K95" i="19" s="1"/>
  <c r="S229" i="19"/>
  <c r="J229" i="19"/>
  <c r="K229" i="19" s="1"/>
  <c r="S139" i="19"/>
  <c r="J139" i="19"/>
  <c r="K139" i="19" s="1"/>
  <c r="J205" i="19"/>
  <c r="K205" i="19" s="1"/>
  <c r="S205" i="19"/>
  <c r="S146" i="19"/>
  <c r="J146" i="19"/>
  <c r="K146" i="19" s="1"/>
  <c r="S154" i="19"/>
  <c r="J154" i="19"/>
  <c r="K154" i="19" s="1"/>
  <c r="S233" i="19"/>
  <c r="J233" i="19"/>
  <c r="K233" i="19" s="1"/>
  <c r="S97" i="19"/>
  <c r="J97" i="19"/>
  <c r="K97" i="19" s="1"/>
  <c r="J209" i="19"/>
  <c r="K209" i="19" s="1"/>
  <c r="S209" i="19"/>
  <c r="J231" i="19"/>
  <c r="K231" i="19" s="1"/>
  <c r="S231" i="19"/>
  <c r="S67" i="19"/>
  <c r="J67" i="19"/>
  <c r="K67" i="19" s="1"/>
  <c r="J96" i="19"/>
  <c r="K96" i="19" s="1"/>
  <c r="S96" i="19"/>
  <c r="V7" i="18"/>
  <c r="S40" i="19"/>
  <c r="J40" i="19"/>
  <c r="K40" i="19" s="1"/>
  <c r="J72" i="19"/>
  <c r="K72" i="19" s="1"/>
  <c r="S72" i="19"/>
  <c r="S11" i="19"/>
  <c r="J11" i="19"/>
  <c r="K11" i="19" s="1"/>
  <c r="S118" i="19"/>
  <c r="J118" i="19"/>
  <c r="K118" i="19" s="1"/>
  <c r="S94" i="19"/>
  <c r="J94" i="19"/>
  <c r="K94" i="19" s="1"/>
  <c r="J99" i="19"/>
  <c r="K99" i="19" s="1"/>
  <c r="S99" i="19"/>
  <c r="J226" i="19"/>
  <c r="K226" i="19" s="1"/>
  <c r="S226" i="19"/>
  <c r="S242" i="19"/>
  <c r="J242" i="19"/>
  <c r="K242" i="19" s="1"/>
  <c r="J168" i="19"/>
  <c r="K168" i="19" s="1"/>
  <c r="S168" i="19"/>
  <c r="S214" i="19"/>
  <c r="J214" i="19"/>
  <c r="K214" i="19" s="1"/>
  <c r="J216" i="19"/>
  <c r="K216" i="19" s="1"/>
  <c r="S216" i="19"/>
  <c r="S19" i="19"/>
  <c r="J19" i="19"/>
  <c r="K19" i="19" s="1"/>
  <c r="S102" i="19"/>
  <c r="J102" i="19"/>
  <c r="K102" i="19" s="1"/>
  <c r="J145" i="19"/>
  <c r="K145" i="19" s="1"/>
  <c r="S145" i="19"/>
  <c r="J115" i="19"/>
  <c r="K115" i="19" s="1"/>
  <c r="S115" i="19"/>
  <c r="J195" i="19"/>
  <c r="K195" i="19" s="1"/>
  <c r="S195" i="19"/>
  <c r="S250" i="19"/>
  <c r="J250" i="19"/>
  <c r="K250" i="19" s="1"/>
  <c r="J192" i="19"/>
  <c r="K192" i="19" s="1"/>
  <c r="S192" i="19"/>
  <c r="S183" i="19"/>
  <c r="J183" i="19"/>
  <c r="K183" i="19" s="1"/>
  <c r="S155" i="19"/>
  <c r="J155" i="19"/>
  <c r="K155" i="19" s="1"/>
  <c r="J208" i="19"/>
  <c r="K208" i="19" s="1"/>
  <c r="S208" i="19"/>
  <c r="R278" i="18" l="1"/>
  <c r="S278" i="18" s="1"/>
  <c r="R276" i="18"/>
  <c r="S276" i="18" s="1"/>
  <c r="R275" i="18"/>
  <c r="S275" i="18" s="1"/>
  <c r="R277" i="18"/>
  <c r="S277" i="18" s="1"/>
  <c r="R30" i="18"/>
  <c r="R28" i="18"/>
  <c r="S28" i="18" s="1"/>
  <c r="R34" i="18"/>
  <c r="S34" i="18" s="1"/>
  <c r="R33" i="18"/>
  <c r="S33" i="18" s="1"/>
  <c r="R35" i="18"/>
  <c r="S35" i="18" s="1"/>
  <c r="R36" i="18"/>
  <c r="S36" i="18" s="1"/>
  <c r="R32" i="18"/>
  <c r="S32" i="18" s="1"/>
  <c r="R37" i="18"/>
  <c r="S37" i="18" s="1"/>
  <c r="K4" i="19"/>
  <c r="K5" i="19"/>
  <c r="R43" i="18"/>
  <c r="S43" i="18" s="1"/>
  <c r="R41" i="18"/>
  <c r="S41" i="18" s="1"/>
  <c r="R40" i="18"/>
  <c r="S40" i="18" s="1"/>
  <c r="R39" i="18"/>
  <c r="S39" i="18" s="1"/>
  <c r="R42" i="18"/>
  <c r="S42" i="18" s="1"/>
  <c r="R38" i="18"/>
  <c r="S38" i="18" s="1"/>
  <c r="R44" i="18"/>
  <c r="S44" i="18" s="1"/>
  <c r="R251" i="18"/>
  <c r="S251" i="18" s="1"/>
  <c r="R266" i="18"/>
  <c r="S266" i="18" s="1"/>
  <c r="R265" i="18"/>
  <c r="S265" i="18" s="1"/>
  <c r="R267" i="18"/>
  <c r="S267" i="18" s="1"/>
  <c r="R274" i="18"/>
  <c r="S274" i="18" s="1"/>
  <c r="R253" i="18"/>
  <c r="S253" i="18" s="1"/>
  <c r="R256" i="18"/>
  <c r="S256" i="18" s="1"/>
  <c r="R254" i="18"/>
  <c r="S254" i="18" s="1"/>
  <c r="R247" i="18"/>
  <c r="S247" i="18" s="1"/>
  <c r="R263" i="18"/>
  <c r="S263" i="18" s="1"/>
  <c r="R269" i="18"/>
  <c r="S269" i="18" s="1"/>
  <c r="R249" i="18"/>
  <c r="S249" i="18" s="1"/>
  <c r="R246" i="18"/>
  <c r="S246" i="18" s="1"/>
  <c r="R271" i="18"/>
  <c r="S271" i="18" s="1"/>
  <c r="R264" i="18"/>
  <c r="S264" i="18" s="1"/>
  <c r="R261" i="18"/>
  <c r="S261" i="18" s="1"/>
  <c r="R270" i="18"/>
  <c r="S270" i="18" s="1"/>
  <c r="R250" i="18"/>
  <c r="S250" i="18" s="1"/>
  <c r="R255" i="18"/>
  <c r="S255" i="18" s="1"/>
  <c r="R248" i="18"/>
  <c r="S248" i="18" s="1"/>
  <c r="R252" i="18"/>
  <c r="S252" i="18" s="1"/>
  <c r="R262" i="18"/>
  <c r="S262" i="18" s="1"/>
  <c r="R257" i="18"/>
  <c r="S257" i="18" s="1"/>
  <c r="R259" i="18"/>
  <c r="S259" i="18" s="1"/>
  <c r="R268" i="18"/>
  <c r="S268" i="18" s="1"/>
  <c r="R273" i="18"/>
  <c r="S273" i="18" s="1"/>
  <c r="R258" i="18"/>
  <c r="S258" i="18" s="1"/>
  <c r="R272" i="18"/>
  <c r="S272" i="18" s="1"/>
  <c r="R260" i="18"/>
  <c r="S260" i="18" s="1"/>
  <c r="R245" i="18"/>
  <c r="S245" i="18" s="1"/>
  <c r="R203" i="18"/>
  <c r="S203" i="18" s="1"/>
  <c r="R238" i="18"/>
  <c r="S238" i="18" s="1"/>
  <c r="R226" i="18"/>
  <c r="S226" i="18" s="1"/>
  <c r="R211" i="18"/>
  <c r="S211" i="18" s="1"/>
  <c r="R202" i="18"/>
  <c r="S202" i="18" s="1"/>
  <c r="R209" i="18"/>
  <c r="S209" i="18" s="1"/>
  <c r="R199" i="18"/>
  <c r="S199" i="18" s="1"/>
  <c r="R230" i="18"/>
  <c r="S230" i="18" s="1"/>
  <c r="R195" i="18"/>
  <c r="S195" i="18" s="1"/>
  <c r="R200" i="18"/>
  <c r="S200" i="18" s="1"/>
  <c r="R239" i="18"/>
  <c r="S239" i="18" s="1"/>
  <c r="R224" i="18"/>
  <c r="S224" i="18" s="1"/>
  <c r="R231" i="18"/>
  <c r="S231" i="18" s="1"/>
  <c r="R215" i="18"/>
  <c r="S215" i="18" s="1"/>
  <c r="R233" i="18"/>
  <c r="S233" i="18" s="1"/>
  <c r="R241" i="18"/>
  <c r="S241" i="18" s="1"/>
  <c r="R197" i="18"/>
  <c r="S197" i="18" s="1"/>
  <c r="R223" i="18"/>
  <c r="S223" i="18" s="1"/>
  <c r="R237" i="18"/>
  <c r="S237" i="18" s="1"/>
  <c r="R217" i="18"/>
  <c r="S217" i="18" s="1"/>
  <c r="R210" i="18"/>
  <c r="S210" i="18" s="1"/>
  <c r="R242" i="18"/>
  <c r="S242" i="18" s="1"/>
  <c r="R206" i="18"/>
  <c r="S206" i="18" s="1"/>
  <c r="R205" i="18"/>
  <c r="S205" i="18" s="1"/>
  <c r="R218" i="18"/>
  <c r="S218" i="18" s="1"/>
  <c r="R204" i="18"/>
  <c r="S204" i="18" s="1"/>
  <c r="R227" i="18"/>
  <c r="S227" i="18" s="1"/>
  <c r="R240" i="18"/>
  <c r="S240" i="18" s="1"/>
  <c r="R207" i="18"/>
  <c r="S207" i="18" s="1"/>
  <c r="R198" i="18"/>
  <c r="S198" i="18" s="1"/>
  <c r="R232" i="18"/>
  <c r="S232" i="18" s="1"/>
  <c r="R219" i="18"/>
  <c r="S219" i="18" s="1"/>
  <c r="R229" i="18"/>
  <c r="S229" i="18" s="1"/>
  <c r="R216" i="18"/>
  <c r="S216" i="18" s="1"/>
  <c r="R243" i="18"/>
  <c r="S243" i="18" s="1"/>
  <c r="R221" i="18"/>
  <c r="S221" i="18" s="1"/>
  <c r="R201" i="18"/>
  <c r="S201" i="18" s="1"/>
  <c r="R234" i="18"/>
  <c r="S234" i="18" s="1"/>
  <c r="R212" i="18"/>
  <c r="S212" i="18" s="1"/>
  <c r="R235" i="18"/>
  <c r="S235" i="18" s="1"/>
  <c r="R220" i="18"/>
  <c r="S220" i="18" s="1"/>
  <c r="R222" i="18"/>
  <c r="S222" i="18" s="1"/>
  <c r="R236" i="18"/>
  <c r="S236" i="18" s="1"/>
  <c r="R208" i="18"/>
  <c r="S208" i="18" s="1"/>
  <c r="R225" i="18"/>
  <c r="S225" i="18" s="1"/>
  <c r="R244" i="18"/>
  <c r="S244" i="18" s="1"/>
  <c r="R228" i="18"/>
  <c r="S228" i="18" s="1"/>
  <c r="R214" i="18"/>
  <c r="S214" i="18" s="1"/>
  <c r="R196" i="18"/>
  <c r="S196" i="18" s="1"/>
  <c r="R213" i="18"/>
  <c r="S213" i="18" s="1"/>
  <c r="R165" i="18"/>
  <c r="S165" i="18" s="1"/>
  <c r="R132" i="18"/>
  <c r="S132" i="18" s="1"/>
  <c r="R188" i="18"/>
  <c r="S188" i="18" s="1"/>
  <c r="R154" i="18"/>
  <c r="S154" i="18" s="1"/>
  <c r="R168" i="18"/>
  <c r="S168" i="18" s="1"/>
  <c r="R177" i="18"/>
  <c r="S177" i="18" s="1"/>
  <c r="R178" i="18"/>
  <c r="S178" i="18" s="1"/>
  <c r="R142" i="18"/>
  <c r="S142" i="18" s="1"/>
  <c r="R150" i="18"/>
  <c r="S150" i="18" s="1"/>
  <c r="R135" i="18"/>
  <c r="S135" i="18" s="1"/>
  <c r="R173" i="18"/>
  <c r="S173" i="18" s="1"/>
  <c r="R179" i="18"/>
  <c r="S179" i="18" s="1"/>
  <c r="R175" i="18"/>
  <c r="S175" i="18" s="1"/>
  <c r="R166" i="18"/>
  <c r="S166" i="18" s="1"/>
  <c r="R182" i="18"/>
  <c r="S182" i="18" s="1"/>
  <c r="R162" i="18"/>
  <c r="S162" i="18" s="1"/>
  <c r="R149" i="18"/>
  <c r="S149" i="18" s="1"/>
  <c r="R133" i="18"/>
  <c r="S133" i="18" s="1"/>
  <c r="R139" i="18"/>
  <c r="S139" i="18" s="1"/>
  <c r="R159" i="18"/>
  <c r="S159" i="18" s="1"/>
  <c r="R187" i="18"/>
  <c r="S187" i="18" s="1"/>
  <c r="R151" i="18"/>
  <c r="S151" i="18" s="1"/>
  <c r="R185" i="18"/>
  <c r="S185" i="18" s="1"/>
  <c r="R146" i="18"/>
  <c r="S146" i="18" s="1"/>
  <c r="R140" i="18"/>
  <c r="S140" i="18" s="1"/>
  <c r="R167" i="18"/>
  <c r="S167" i="18" s="1"/>
  <c r="R186" i="18"/>
  <c r="S186" i="18" s="1"/>
  <c r="R158" i="18"/>
  <c r="S158" i="18" s="1"/>
  <c r="R134" i="18"/>
  <c r="S134" i="18" s="1"/>
  <c r="R129" i="18"/>
  <c r="S129" i="18" s="1"/>
  <c r="R170" i="18"/>
  <c r="S170" i="18" s="1"/>
  <c r="R143" i="18"/>
  <c r="S143" i="18" s="1"/>
  <c r="R153" i="18"/>
  <c r="S153" i="18" s="1"/>
  <c r="R171" i="18"/>
  <c r="S171" i="18" s="1"/>
  <c r="R193" i="18"/>
  <c r="S193" i="18" s="1"/>
  <c r="R183" i="18"/>
  <c r="S183" i="18" s="1"/>
  <c r="R155" i="18"/>
  <c r="S155" i="18" s="1"/>
  <c r="R190" i="18"/>
  <c r="S190" i="18" s="1"/>
  <c r="R130" i="18"/>
  <c r="S130" i="18" s="1"/>
  <c r="R194" i="18"/>
  <c r="S194" i="18" s="1"/>
  <c r="R148" i="18"/>
  <c r="S148" i="18" s="1"/>
  <c r="R161" i="18"/>
  <c r="S161" i="18" s="1"/>
  <c r="R172" i="18"/>
  <c r="S172" i="18" s="1"/>
  <c r="R157" i="18"/>
  <c r="S157" i="18" s="1"/>
  <c r="R176" i="18"/>
  <c r="S176" i="18" s="1"/>
  <c r="R164" i="18"/>
  <c r="S164" i="18" s="1"/>
  <c r="R169" i="18"/>
  <c r="S169" i="18" s="1"/>
  <c r="R184" i="18"/>
  <c r="S184" i="18" s="1"/>
  <c r="R192" i="18"/>
  <c r="S192" i="18" s="1"/>
  <c r="R137" i="18"/>
  <c r="S137" i="18" s="1"/>
  <c r="R144" i="18"/>
  <c r="S144" i="18" s="1"/>
  <c r="R152" i="18"/>
  <c r="S152" i="18" s="1"/>
  <c r="R163" i="18"/>
  <c r="S163" i="18" s="1"/>
  <c r="R136" i="18"/>
  <c r="S136" i="18" s="1"/>
  <c r="R160" i="18"/>
  <c r="S160" i="18" s="1"/>
  <c r="R189" i="18"/>
  <c r="S189" i="18" s="1"/>
  <c r="R156" i="18"/>
  <c r="S156" i="18" s="1"/>
  <c r="R191" i="18"/>
  <c r="S191" i="18" s="1"/>
  <c r="R131" i="18"/>
  <c r="S131" i="18" s="1"/>
  <c r="R180" i="18"/>
  <c r="S180" i="18" s="1"/>
  <c r="R174" i="18"/>
  <c r="S174" i="18" s="1"/>
  <c r="R138" i="18"/>
  <c r="S138" i="18" s="1"/>
  <c r="R141" i="18"/>
  <c r="S141" i="18" s="1"/>
  <c r="R145" i="18"/>
  <c r="S145" i="18" s="1"/>
  <c r="R147" i="18"/>
  <c r="S147" i="18" s="1"/>
  <c r="R181" i="18"/>
  <c r="S181" i="18" s="1"/>
  <c r="R26" i="18"/>
  <c r="S26" i="18" s="1"/>
  <c r="R27" i="18"/>
  <c r="S27" i="18" s="1"/>
  <c r="R31" i="18"/>
  <c r="S31" i="18" s="1"/>
  <c r="S30" i="18"/>
  <c r="R29" i="18"/>
  <c r="S29" i="18" s="1"/>
  <c r="R48" i="18"/>
  <c r="S48" i="18" s="1"/>
  <c r="R52" i="18"/>
  <c r="S52" i="18" s="1"/>
  <c r="R55" i="18"/>
  <c r="S55" i="18" s="1"/>
  <c r="R51" i="18"/>
  <c r="S51" i="18" s="1"/>
  <c r="R47" i="18"/>
  <c r="S47" i="18" s="1"/>
  <c r="R54" i="18"/>
  <c r="S54" i="18" s="1"/>
  <c r="R49" i="18"/>
  <c r="S49" i="18" s="1"/>
  <c r="R59" i="18"/>
  <c r="S59" i="18" s="1"/>
  <c r="R46" i="18"/>
  <c r="S46" i="18" s="1"/>
  <c r="R58" i="18"/>
  <c r="S58" i="18" s="1"/>
  <c r="R56" i="18"/>
  <c r="S56" i="18" s="1"/>
  <c r="R45" i="18"/>
  <c r="S45" i="18" s="1"/>
  <c r="R53" i="18"/>
  <c r="S53" i="18" s="1"/>
  <c r="R57" i="18"/>
  <c r="S57" i="18" s="1"/>
  <c r="R50" i="18"/>
  <c r="S50" i="18" s="1"/>
  <c r="R60" i="18"/>
  <c r="S60" i="18" s="1"/>
  <c r="R61" i="18"/>
  <c r="S61" i="18" s="1"/>
  <c r="R63" i="18"/>
  <c r="S63" i="18" s="1"/>
  <c r="R64" i="18"/>
  <c r="S64" i="18" s="1"/>
  <c r="R65" i="18"/>
  <c r="S65" i="18" s="1"/>
  <c r="R75" i="18"/>
  <c r="S75" i="18" s="1"/>
  <c r="R76" i="18"/>
  <c r="S76" i="18" s="1"/>
  <c r="R73" i="18"/>
  <c r="S73" i="18" s="1"/>
  <c r="R68" i="18"/>
  <c r="S68" i="18" s="1"/>
  <c r="R79" i="18"/>
  <c r="S79" i="18" s="1"/>
  <c r="R66" i="18"/>
  <c r="S66" i="18" s="1"/>
  <c r="R69" i="18"/>
  <c r="S69" i="18" s="1"/>
  <c r="R70" i="18"/>
  <c r="S70" i="18" s="1"/>
  <c r="R74" i="18"/>
  <c r="S74" i="18" s="1"/>
  <c r="R67" i="18"/>
  <c r="S67" i="18" s="1"/>
  <c r="R71" i="18"/>
  <c r="S71" i="18" s="1"/>
  <c r="R78" i="18"/>
  <c r="S78" i="18" s="1"/>
  <c r="R77" i="18"/>
  <c r="S77" i="18" s="1"/>
  <c r="R72" i="18"/>
  <c r="S72" i="18" s="1"/>
  <c r="R62" i="18"/>
  <c r="S62" i="18" s="1"/>
  <c r="R90" i="18"/>
  <c r="S90" i="18" s="1"/>
  <c r="R93" i="18"/>
  <c r="S93" i="18" s="1"/>
  <c r="R92" i="18"/>
  <c r="S92" i="18" s="1"/>
  <c r="R112" i="18"/>
  <c r="S112" i="18" s="1"/>
  <c r="R107" i="18"/>
  <c r="S107" i="18" s="1"/>
  <c r="R122" i="18"/>
  <c r="S122" i="18" s="1"/>
  <c r="R109" i="18"/>
  <c r="S109" i="18" s="1"/>
  <c r="R98" i="18"/>
  <c r="S98" i="18" s="1"/>
  <c r="R99" i="18"/>
  <c r="S99" i="18" s="1"/>
  <c r="R114" i="18"/>
  <c r="S114" i="18" s="1"/>
  <c r="R89" i="18"/>
  <c r="S89" i="18" s="1"/>
  <c r="R124" i="18"/>
  <c r="S124" i="18" s="1"/>
  <c r="R106" i="18"/>
  <c r="S106" i="18" s="1"/>
  <c r="R104" i="18"/>
  <c r="S104" i="18" s="1"/>
  <c r="R101" i="18"/>
  <c r="S101" i="18" s="1"/>
  <c r="R116" i="18"/>
  <c r="S116" i="18" s="1"/>
  <c r="R86" i="18"/>
  <c r="S86" i="18" s="1"/>
  <c r="R85" i="18"/>
  <c r="S85" i="18" s="1"/>
  <c r="R83" i="18"/>
  <c r="S83" i="18" s="1"/>
  <c r="R127" i="18"/>
  <c r="S127" i="18" s="1"/>
  <c r="R121" i="18"/>
  <c r="S121" i="18" s="1"/>
  <c r="R80" i="18"/>
  <c r="S80" i="18" s="1"/>
  <c r="R105" i="18"/>
  <c r="S105" i="18" s="1"/>
  <c r="R94" i="18"/>
  <c r="S94" i="18" s="1"/>
  <c r="R117" i="18"/>
  <c r="S117" i="18" s="1"/>
  <c r="R123" i="18"/>
  <c r="S123" i="18" s="1"/>
  <c r="R102" i="18"/>
  <c r="S102" i="18" s="1"/>
  <c r="R125" i="18"/>
  <c r="S125" i="18" s="1"/>
  <c r="R108" i="18"/>
  <c r="S108" i="18" s="1"/>
  <c r="R97" i="18"/>
  <c r="S97" i="18" s="1"/>
  <c r="R120" i="18"/>
  <c r="S120" i="18" s="1"/>
  <c r="R95" i="18"/>
  <c r="S95" i="18" s="1"/>
  <c r="R111" i="18"/>
  <c r="S111" i="18" s="1"/>
  <c r="R84" i="18"/>
  <c r="S84" i="18" s="1"/>
  <c r="R88" i="18"/>
  <c r="S88" i="18" s="1"/>
  <c r="R128" i="18"/>
  <c r="S128" i="18" s="1"/>
  <c r="R96" i="18"/>
  <c r="S96" i="18" s="1"/>
  <c r="R81" i="18"/>
  <c r="S81" i="18" s="1"/>
  <c r="R119" i="18"/>
  <c r="S119" i="18" s="1"/>
  <c r="R87" i="18"/>
  <c r="S87" i="18" s="1"/>
  <c r="R126" i="18"/>
  <c r="S126" i="18" s="1"/>
  <c r="R118" i="18"/>
  <c r="S118" i="18" s="1"/>
  <c r="R100" i="18"/>
  <c r="S100" i="18" s="1"/>
  <c r="R103" i="18"/>
  <c r="S103" i="18" s="1"/>
  <c r="R82" i="18"/>
  <c r="S82" i="18" s="1"/>
  <c r="R110" i="18"/>
  <c r="S110" i="18" s="1"/>
  <c r="R91" i="18"/>
  <c r="S91" i="18" s="1"/>
  <c r="R113" i="18"/>
  <c r="S113" i="18" s="1"/>
  <c r="R115" i="18"/>
  <c r="S115" i="18" s="1"/>
  <c r="S24" i="18" l="1"/>
  <c r="S25" i="18"/>
  <c r="U82" i="18" l="1"/>
  <c r="U275" i="18"/>
  <c r="W277" i="18"/>
  <c r="U278" i="18"/>
  <c r="W275" i="18"/>
  <c r="W276" i="18"/>
  <c r="U276" i="18"/>
  <c r="W278" i="18"/>
  <c r="U277" i="18"/>
  <c r="U72" i="18"/>
  <c r="U221" i="18"/>
  <c r="W161" i="18"/>
  <c r="U95" i="18"/>
  <c r="U109" i="18"/>
  <c r="U117" i="18"/>
  <c r="U46" i="18"/>
  <c r="W114" i="18"/>
  <c r="W258" i="18"/>
  <c r="W129" i="18"/>
  <c r="W43" i="18"/>
  <c r="U202" i="18"/>
  <c r="U196" i="18"/>
  <c r="W240" i="18"/>
  <c r="W173" i="18"/>
  <c r="U223" i="18"/>
  <c r="W135" i="18"/>
  <c r="W120" i="18"/>
  <c r="W207" i="18"/>
  <c r="U55" i="18"/>
  <c r="W28" i="18"/>
  <c r="U163" i="18"/>
  <c r="U241" i="18"/>
  <c r="U264" i="18"/>
  <c r="U61" i="18"/>
  <c r="U133" i="18"/>
  <c r="U119" i="18"/>
  <c r="U201" i="18"/>
  <c r="W62" i="18"/>
  <c r="W70" i="18"/>
  <c r="U53" i="18"/>
  <c r="U214" i="18"/>
  <c r="U197" i="18"/>
  <c r="U261" i="18"/>
  <c r="U266" i="18"/>
  <c r="U137" i="18"/>
  <c r="U77" i="18"/>
  <c r="U139" i="18"/>
  <c r="U35" i="18"/>
  <c r="U165" i="18"/>
  <c r="U118" i="18"/>
  <c r="W138" i="18"/>
  <c r="U170" i="18"/>
  <c r="U213" i="18"/>
  <c r="W273" i="18"/>
  <c r="U52" i="18"/>
  <c r="U41" i="18"/>
  <c r="W172" i="18"/>
  <c r="U248" i="18"/>
  <c r="U274" i="18"/>
  <c r="U239" i="18"/>
  <c r="W76" i="18"/>
  <c r="U141" i="18"/>
  <c r="U143" i="18"/>
  <c r="U211" i="18"/>
  <c r="W58" i="18"/>
  <c r="U265" i="18"/>
  <c r="U144" i="18"/>
  <c r="U242" i="18"/>
  <c r="U199" i="18"/>
  <c r="U192" i="18"/>
  <c r="U83" i="18"/>
  <c r="W73" i="18"/>
  <c r="U145" i="18"/>
  <c r="U154" i="18"/>
  <c r="U212" i="18"/>
  <c r="W110" i="18"/>
  <c r="U247" i="18"/>
  <c r="U127" i="18"/>
  <c r="W68" i="18"/>
  <c r="U183" i="18"/>
  <c r="U187" i="18"/>
  <c r="U271" i="18"/>
  <c r="W97" i="18"/>
  <c r="U270" i="18"/>
  <c r="W121" i="18"/>
  <c r="W266" i="18"/>
  <c r="W211" i="18"/>
  <c r="W221" i="18"/>
  <c r="W133" i="18"/>
  <c r="W137" i="18"/>
  <c r="U58" i="18"/>
  <c r="W109" i="18"/>
  <c r="W119" i="18"/>
  <c r="W77" i="18"/>
  <c r="W265" i="18"/>
  <c r="W202" i="18"/>
  <c r="W201" i="18"/>
  <c r="W139" i="18"/>
  <c r="W144" i="18"/>
  <c r="W55" i="18"/>
  <c r="U62" i="18"/>
  <c r="W95" i="18"/>
  <c r="W35" i="18"/>
  <c r="W248" i="18"/>
  <c r="W242" i="18"/>
  <c r="W154" i="18"/>
  <c r="W183" i="18"/>
  <c r="U28" i="18"/>
  <c r="U70" i="18"/>
  <c r="W117" i="18"/>
  <c r="W165" i="18"/>
  <c r="W274" i="18"/>
  <c r="W199" i="18"/>
  <c r="W212" i="18"/>
  <c r="W187" i="18"/>
  <c r="W163" i="18"/>
  <c r="W53" i="18"/>
  <c r="U114" i="18"/>
  <c r="W118" i="18"/>
  <c r="W239" i="18"/>
  <c r="W192" i="18"/>
  <c r="U110" i="18"/>
  <c r="W271" i="18"/>
  <c r="W241" i="18"/>
  <c r="W214" i="18"/>
  <c r="U129" i="18"/>
  <c r="U138" i="18"/>
  <c r="U76" i="18"/>
  <c r="W83" i="18"/>
  <c r="W247" i="18"/>
  <c r="U97" i="18"/>
  <c r="W264" i="18"/>
  <c r="W197" i="18"/>
  <c r="W196" i="18"/>
  <c r="W170" i="18"/>
  <c r="W141" i="18"/>
  <c r="U73" i="18"/>
  <c r="W127" i="18"/>
  <c r="W270" i="18"/>
  <c r="W61" i="18"/>
  <c r="W261" i="18"/>
  <c r="W223" i="18"/>
  <c r="W213" i="18"/>
  <c r="W143" i="18"/>
  <c r="W145" i="18"/>
  <c r="U68" i="18"/>
  <c r="U121" i="18"/>
  <c r="U263" i="18"/>
  <c r="U224" i="18"/>
  <c r="U208" i="18"/>
  <c r="U167" i="18"/>
  <c r="U191" i="18"/>
  <c r="U63" i="18"/>
  <c r="U101" i="18"/>
  <c r="U91" i="18"/>
  <c r="W81" i="18"/>
  <c r="U269" i="18"/>
  <c r="U231" i="18"/>
  <c r="U225" i="18"/>
  <c r="W186" i="18"/>
  <c r="U131" i="18"/>
  <c r="W56" i="18"/>
  <c r="W98" i="18"/>
  <c r="U87" i="18"/>
  <c r="W40" i="18"/>
  <c r="U272" i="18"/>
  <c r="U198" i="18"/>
  <c r="U179" i="18"/>
  <c r="U157" i="18"/>
  <c r="U51" i="18"/>
  <c r="W90" i="18"/>
  <c r="U111" i="18"/>
  <c r="W80" i="18"/>
  <c r="U246" i="18"/>
  <c r="U233" i="18"/>
  <c r="U228" i="18"/>
  <c r="U134" i="18"/>
  <c r="U174" i="18"/>
  <c r="U75" i="18"/>
  <c r="U85" i="18"/>
  <c r="U251" i="18"/>
  <c r="U227" i="18"/>
  <c r="W48" i="18"/>
  <c r="W32" i="18"/>
  <c r="U262" i="18"/>
  <c r="U205" i="18"/>
  <c r="U177" i="18"/>
  <c r="U190" i="18"/>
  <c r="U31" i="18"/>
  <c r="U67" i="18"/>
  <c r="W102" i="18"/>
  <c r="U243" i="18"/>
  <c r="U37" i="18"/>
  <c r="U257" i="18"/>
  <c r="U218" i="18"/>
  <c r="U178" i="18"/>
  <c r="U130" i="18"/>
  <c r="W30" i="18"/>
  <c r="U71" i="18"/>
  <c r="U125" i="18"/>
  <c r="U150" i="18"/>
  <c r="W122" i="18"/>
  <c r="U259" i="18"/>
  <c r="U204" i="18"/>
  <c r="U142" i="18"/>
  <c r="U194" i="18"/>
  <c r="U29" i="18"/>
  <c r="W78" i="18"/>
  <c r="W108" i="18"/>
  <c r="W263" i="18"/>
  <c r="W224" i="18"/>
  <c r="W208" i="18"/>
  <c r="W167" i="18"/>
  <c r="W191" i="18"/>
  <c r="W63" i="18"/>
  <c r="W101" i="18"/>
  <c r="W91" i="18"/>
  <c r="U81" i="18"/>
  <c r="W269" i="18"/>
  <c r="W231" i="18"/>
  <c r="W225" i="18"/>
  <c r="U186" i="18"/>
  <c r="W131" i="18"/>
  <c r="U56" i="18"/>
  <c r="U98" i="18"/>
  <c r="W87" i="18"/>
  <c r="U40" i="18"/>
  <c r="W272" i="18"/>
  <c r="W198" i="18"/>
  <c r="W179" i="18"/>
  <c r="W157" i="18"/>
  <c r="W51" i="18"/>
  <c r="U90" i="18"/>
  <c r="W111" i="18"/>
  <c r="U80" i="18"/>
  <c r="W246" i="18"/>
  <c r="W233" i="18"/>
  <c r="W228" i="18"/>
  <c r="W134" i="18"/>
  <c r="W174" i="18"/>
  <c r="W75" i="18"/>
  <c r="W85" i="18"/>
  <c r="W251" i="18"/>
  <c r="W227" i="18"/>
  <c r="U48" i="18"/>
  <c r="U32" i="18"/>
  <c r="W262" i="18"/>
  <c r="W205" i="18"/>
  <c r="W177" i="18"/>
  <c r="W190" i="18"/>
  <c r="W31" i="18"/>
  <c r="W67" i="18"/>
  <c r="U102" i="18"/>
  <c r="W243" i="18"/>
  <c r="W37" i="18"/>
  <c r="W257" i="18"/>
  <c r="W218" i="18"/>
  <c r="W178" i="18"/>
  <c r="W130" i="18"/>
  <c r="U30" i="18"/>
  <c r="W71" i="18"/>
  <c r="W125" i="18"/>
  <c r="W150" i="18"/>
  <c r="U122" i="18"/>
  <c r="W259" i="18"/>
  <c r="W204" i="18"/>
  <c r="W142" i="18"/>
  <c r="W194" i="18"/>
  <c r="W29" i="18"/>
  <c r="U78" i="18"/>
  <c r="U108" i="18"/>
  <c r="W34" i="18"/>
  <c r="U250" i="18"/>
  <c r="U217" i="18"/>
  <c r="U132" i="18"/>
  <c r="U171" i="18"/>
  <c r="U181" i="18"/>
  <c r="W66" i="18"/>
  <c r="W105" i="18"/>
  <c r="U237" i="18"/>
  <c r="W33" i="18"/>
  <c r="U255" i="18"/>
  <c r="U210" i="18"/>
  <c r="U188" i="18"/>
  <c r="U193" i="18"/>
  <c r="W64" i="18"/>
  <c r="W116" i="18"/>
  <c r="W113" i="18"/>
  <c r="U267" i="18"/>
  <c r="U209" i="18"/>
  <c r="U234" i="18"/>
  <c r="U159" i="18"/>
  <c r="U152" i="18"/>
  <c r="U45" i="18"/>
  <c r="U99" i="18"/>
  <c r="U126" i="18"/>
  <c r="W36" i="18"/>
  <c r="U252" i="18"/>
  <c r="U206" i="18"/>
  <c r="U168" i="18"/>
  <c r="U155" i="18"/>
  <c r="U27" i="18"/>
  <c r="W74" i="18"/>
  <c r="U123" i="18"/>
  <c r="U268" i="18"/>
  <c r="U149" i="18"/>
  <c r="U79" i="18"/>
  <c r="W42" i="18"/>
  <c r="U245" i="18"/>
  <c r="U219" i="18"/>
  <c r="U166" i="18"/>
  <c r="U164" i="18"/>
  <c r="W54" i="18"/>
  <c r="W92" i="18"/>
  <c r="W88" i="18"/>
  <c r="U140" i="18"/>
  <c r="W38" i="18"/>
  <c r="U203" i="18"/>
  <c r="U229" i="18"/>
  <c r="U182" i="18"/>
  <c r="U169" i="18"/>
  <c r="W49" i="18"/>
  <c r="W112" i="18"/>
  <c r="U128" i="18"/>
  <c r="U148" i="18"/>
  <c r="W44" i="18"/>
  <c r="U238" i="18"/>
  <c r="U216" i="18"/>
  <c r="U162" i="18"/>
  <c r="U184" i="18"/>
  <c r="U59" i="18"/>
  <c r="U107" i="18"/>
  <c r="W96" i="18"/>
  <c r="U34" i="18"/>
  <c r="W250" i="18"/>
  <c r="W217" i="18"/>
  <c r="W132" i="18"/>
  <c r="W171" i="18"/>
  <c r="W181" i="18"/>
  <c r="U66" i="18"/>
  <c r="U105" i="18"/>
  <c r="W237" i="18"/>
  <c r="U33" i="18"/>
  <c r="W255" i="18"/>
  <c r="W210" i="18"/>
  <c r="W188" i="18"/>
  <c r="W193" i="18"/>
  <c r="W26" i="18"/>
  <c r="U64" i="18"/>
  <c r="U116" i="18"/>
  <c r="U113" i="18"/>
  <c r="W267" i="18"/>
  <c r="W209" i="18"/>
  <c r="W234" i="18"/>
  <c r="W159" i="18"/>
  <c r="W152" i="18"/>
  <c r="W45" i="18"/>
  <c r="W99" i="18"/>
  <c r="W126" i="18"/>
  <c r="U36" i="18"/>
  <c r="W252" i="18"/>
  <c r="W206" i="18"/>
  <c r="W168" i="18"/>
  <c r="W155" i="18"/>
  <c r="W27" i="18"/>
  <c r="U74" i="18"/>
  <c r="W123" i="18"/>
  <c r="W268" i="18"/>
  <c r="W149" i="18"/>
  <c r="W79" i="18"/>
  <c r="U42" i="18"/>
  <c r="W245" i="18"/>
  <c r="W219" i="18"/>
  <c r="W166" i="18"/>
  <c r="W164" i="18"/>
  <c r="U54" i="18"/>
  <c r="U92" i="18"/>
  <c r="U88" i="18"/>
  <c r="W140" i="18"/>
  <c r="U38" i="18"/>
  <c r="W203" i="18"/>
  <c r="W229" i="18"/>
  <c r="W182" i="18"/>
  <c r="W169" i="18"/>
  <c r="U49" i="18"/>
  <c r="U112" i="18"/>
  <c r="W128" i="18"/>
  <c r="W148" i="18"/>
  <c r="U44" i="18"/>
  <c r="W238" i="18"/>
  <c r="W216" i="18"/>
  <c r="W162" i="18"/>
  <c r="W184" i="18"/>
  <c r="W59" i="18"/>
  <c r="W107" i="18"/>
  <c r="U96" i="18"/>
  <c r="U43" i="18"/>
  <c r="U273" i="18"/>
  <c r="U240" i="18"/>
  <c r="U135" i="18"/>
  <c r="U161" i="18"/>
  <c r="W52" i="18"/>
  <c r="W72" i="18"/>
  <c r="U120" i="18"/>
  <c r="W46" i="18"/>
  <c r="W41" i="18"/>
  <c r="U258" i="18"/>
  <c r="U207" i="18"/>
  <c r="U173" i="18"/>
  <c r="U172" i="18"/>
  <c r="U26" i="18"/>
  <c r="U69" i="18"/>
  <c r="W94" i="18"/>
  <c r="U236" i="18"/>
  <c r="U249" i="18"/>
  <c r="U215" i="18"/>
  <c r="U244" i="18"/>
  <c r="U158" i="18"/>
  <c r="U180" i="18"/>
  <c r="W65" i="18"/>
  <c r="W86" i="18"/>
  <c r="U115" i="18"/>
  <c r="U39" i="18"/>
  <c r="U260" i="18"/>
  <c r="U232" i="18"/>
  <c r="U175" i="18"/>
  <c r="U176" i="18"/>
  <c r="U47" i="18"/>
  <c r="U93" i="18"/>
  <c r="W84" i="18"/>
  <c r="U226" i="18"/>
  <c r="U153" i="18"/>
  <c r="W104" i="18"/>
  <c r="U253" i="18"/>
  <c r="U230" i="18"/>
  <c r="U235" i="18"/>
  <c r="U151" i="18"/>
  <c r="U136" i="18"/>
  <c r="W57" i="18"/>
  <c r="W89" i="18"/>
  <c r="W100" i="18"/>
  <c r="U156" i="18"/>
  <c r="U256" i="18"/>
  <c r="U195" i="18"/>
  <c r="U220" i="18"/>
  <c r="U185" i="18"/>
  <c r="U160" i="18"/>
  <c r="W50" i="18"/>
  <c r="U124" i="18"/>
  <c r="U103" i="18"/>
  <c r="U147" i="18"/>
  <c r="U254" i="18"/>
  <c r="U200" i="18"/>
  <c r="U222" i="18"/>
  <c r="U146" i="18"/>
  <c r="U189" i="18"/>
  <c r="W60" i="18"/>
  <c r="W106" i="18"/>
  <c r="W82" i="18"/>
  <c r="W69" i="18"/>
  <c r="U94" i="18"/>
  <c r="W236" i="18"/>
  <c r="W249" i="18"/>
  <c r="W215" i="18"/>
  <c r="W244" i="18"/>
  <c r="W158" i="18"/>
  <c r="W180" i="18"/>
  <c r="U65" i="18"/>
  <c r="U86" i="18"/>
  <c r="W115" i="18"/>
  <c r="W39" i="18"/>
  <c r="W260" i="18"/>
  <c r="W232" i="18"/>
  <c r="W175" i="18"/>
  <c r="W176" i="18"/>
  <c r="W47" i="18"/>
  <c r="W93" i="18"/>
  <c r="U84" i="18"/>
  <c r="W226" i="18"/>
  <c r="W153" i="18"/>
  <c r="U104" i="18"/>
  <c r="W253" i="18"/>
  <c r="W230" i="18"/>
  <c r="W235" i="18"/>
  <c r="W151" i="18"/>
  <c r="W136" i="18"/>
  <c r="U57" i="18"/>
  <c r="U89" i="18"/>
  <c r="U100" i="18"/>
  <c r="W156" i="18"/>
  <c r="W256" i="18"/>
  <c r="W195" i="18"/>
  <c r="W220" i="18"/>
  <c r="W185" i="18"/>
  <c r="W160" i="18"/>
  <c r="U50" i="18"/>
  <c r="W124" i="18"/>
  <c r="W103" i="18"/>
  <c r="W147" i="18"/>
  <c r="W254" i="18"/>
  <c r="W200" i="18"/>
  <c r="W222" i="18"/>
  <c r="W146" i="18"/>
  <c r="W189" i="18"/>
  <c r="U60" i="18"/>
  <c r="U106" i="18"/>
  <c r="U24" i="18" l="1"/>
  <c r="W24" i="18"/>
  <c r="W23" i="18" s="1"/>
  <c r="X278" i="18" l="1"/>
  <c r="Y278" i="18" s="1"/>
  <c r="Z278" i="18" s="1"/>
  <c r="X277" i="18"/>
  <c r="Y277" i="18" s="1"/>
  <c r="Z277" i="18" s="1"/>
  <c r="X276" i="18"/>
  <c r="Y276" i="18" s="1"/>
  <c r="Z276" i="18" s="1"/>
  <c r="X275" i="18"/>
  <c r="Y275" i="18" s="1"/>
  <c r="Z275" i="18" s="1"/>
  <c r="X26" i="18"/>
  <c r="X28" i="18"/>
  <c r="Y28" i="18" s="1"/>
  <c r="Z28" i="18" s="1"/>
  <c r="X30" i="18"/>
  <c r="Y30" i="18" s="1"/>
  <c r="Z30" i="18" s="1"/>
  <c r="X32" i="18"/>
  <c r="Y32" i="18" s="1"/>
  <c r="Z32" i="18" s="1"/>
  <c r="X34" i="18"/>
  <c r="Y34" i="18" s="1"/>
  <c r="Z34" i="18" s="1"/>
  <c r="X36" i="18"/>
  <c r="Y36" i="18" s="1"/>
  <c r="Z36" i="18" s="1"/>
  <c r="X38" i="18"/>
  <c r="Y38" i="18" s="1"/>
  <c r="Z38" i="18" s="1"/>
  <c r="X40" i="18"/>
  <c r="Y40" i="18" s="1"/>
  <c r="Z40" i="18" s="1"/>
  <c r="X42" i="18"/>
  <c r="Y42" i="18" s="1"/>
  <c r="Z42" i="18" s="1"/>
  <c r="X44" i="18"/>
  <c r="Y44" i="18" s="1"/>
  <c r="Z44" i="18" s="1"/>
  <c r="X46" i="18"/>
  <c r="Y46" i="18" s="1"/>
  <c r="Z46" i="18" s="1"/>
  <c r="X48" i="18"/>
  <c r="Y48" i="18" s="1"/>
  <c r="Z48" i="18" s="1"/>
  <c r="X50" i="18"/>
  <c r="Y50" i="18" s="1"/>
  <c r="Z50" i="18" s="1"/>
  <c r="X52" i="18"/>
  <c r="Y52" i="18" s="1"/>
  <c r="Z52" i="18" s="1"/>
  <c r="X54" i="18"/>
  <c r="Y54" i="18" s="1"/>
  <c r="Z54" i="18" s="1"/>
  <c r="X56" i="18"/>
  <c r="Y56" i="18" s="1"/>
  <c r="Z56" i="18" s="1"/>
  <c r="X58" i="18"/>
  <c r="Y58" i="18" s="1"/>
  <c r="Z58" i="18" s="1"/>
  <c r="X60" i="18"/>
  <c r="Y60" i="18" s="1"/>
  <c r="Z60" i="18" s="1"/>
  <c r="X62" i="18"/>
  <c r="Y62" i="18" s="1"/>
  <c r="Z62" i="18" s="1"/>
  <c r="X64" i="18"/>
  <c r="Y64" i="18" s="1"/>
  <c r="Z64" i="18" s="1"/>
  <c r="X66" i="18"/>
  <c r="Y66" i="18" s="1"/>
  <c r="Z66" i="18" s="1"/>
  <c r="X68" i="18"/>
  <c r="Y68" i="18" s="1"/>
  <c r="Z68" i="18" s="1"/>
  <c r="X70" i="18"/>
  <c r="Y70" i="18" s="1"/>
  <c r="Z70" i="18" s="1"/>
  <c r="X72" i="18"/>
  <c r="Y72" i="18" s="1"/>
  <c r="Z72" i="18" s="1"/>
  <c r="X74" i="18"/>
  <c r="Y74" i="18" s="1"/>
  <c r="Z74" i="18" s="1"/>
  <c r="X76" i="18"/>
  <c r="Y76" i="18" s="1"/>
  <c r="Z76" i="18" s="1"/>
  <c r="X78" i="18"/>
  <c r="Y78" i="18" s="1"/>
  <c r="Z78" i="18" s="1"/>
  <c r="X80" i="18"/>
  <c r="Y80" i="18" s="1"/>
  <c r="Z80" i="18" s="1"/>
  <c r="X82" i="18"/>
  <c r="Y82" i="18" s="1"/>
  <c r="Z82" i="18" s="1"/>
  <c r="X84" i="18"/>
  <c r="Y84" i="18" s="1"/>
  <c r="Z84" i="18" s="1"/>
  <c r="X86" i="18"/>
  <c r="Y86" i="18" s="1"/>
  <c r="Z86" i="18" s="1"/>
  <c r="X88" i="18"/>
  <c r="Y88" i="18" s="1"/>
  <c r="Z88" i="18" s="1"/>
  <c r="X90" i="18"/>
  <c r="Y90" i="18" s="1"/>
  <c r="Z90" i="18" s="1"/>
  <c r="X92" i="18"/>
  <c r="Y92" i="18" s="1"/>
  <c r="Z92" i="18" s="1"/>
  <c r="X94" i="18"/>
  <c r="Y94" i="18" s="1"/>
  <c r="Z94" i="18" s="1"/>
  <c r="X96" i="18"/>
  <c r="Y96" i="18" s="1"/>
  <c r="Z96" i="18" s="1"/>
  <c r="X98" i="18"/>
  <c r="Y98" i="18" s="1"/>
  <c r="Z98" i="18" s="1"/>
  <c r="X100" i="18"/>
  <c r="Y100" i="18" s="1"/>
  <c r="Z100" i="18" s="1"/>
  <c r="X102" i="18"/>
  <c r="Y102" i="18" s="1"/>
  <c r="Z102" i="18" s="1"/>
  <c r="X104" i="18"/>
  <c r="Y104" i="18" s="1"/>
  <c r="Z104" i="18" s="1"/>
  <c r="X106" i="18"/>
  <c r="Y106" i="18" s="1"/>
  <c r="Z106" i="18" s="1"/>
  <c r="X108" i="18"/>
  <c r="Y108" i="18" s="1"/>
  <c r="Z108" i="18" s="1"/>
  <c r="X110" i="18"/>
  <c r="Y110" i="18" s="1"/>
  <c r="Z110" i="18" s="1"/>
  <c r="X112" i="18"/>
  <c r="Y112" i="18" s="1"/>
  <c r="Z112" i="18" s="1"/>
  <c r="X114" i="18"/>
  <c r="Y114" i="18" s="1"/>
  <c r="Z114" i="18" s="1"/>
  <c r="X116" i="18"/>
  <c r="Y116" i="18" s="1"/>
  <c r="Z116" i="18" s="1"/>
  <c r="X118" i="18"/>
  <c r="Y118" i="18" s="1"/>
  <c r="Z118" i="18" s="1"/>
  <c r="X120" i="18"/>
  <c r="Y120" i="18" s="1"/>
  <c r="Z120" i="18" s="1"/>
  <c r="X122" i="18"/>
  <c r="Y122" i="18" s="1"/>
  <c r="Z122" i="18" s="1"/>
  <c r="X124" i="18"/>
  <c r="Y124" i="18" s="1"/>
  <c r="Z124" i="18" s="1"/>
  <c r="X126" i="18"/>
  <c r="Y126" i="18" s="1"/>
  <c r="Z126" i="18" s="1"/>
  <c r="X128" i="18"/>
  <c r="Y128" i="18" s="1"/>
  <c r="Z128" i="18" s="1"/>
  <c r="X130" i="18"/>
  <c r="Y130" i="18" s="1"/>
  <c r="Z130" i="18" s="1"/>
  <c r="X27" i="18"/>
  <c r="Y27" i="18" s="1"/>
  <c r="Z27" i="18" s="1"/>
  <c r="X29" i="18"/>
  <c r="Y29" i="18" s="1"/>
  <c r="Z29" i="18" s="1"/>
  <c r="X31" i="18"/>
  <c r="Y31" i="18" s="1"/>
  <c r="Z31" i="18" s="1"/>
  <c r="X33" i="18"/>
  <c r="Y33" i="18" s="1"/>
  <c r="Z33" i="18" s="1"/>
  <c r="X35" i="18"/>
  <c r="Y35" i="18" s="1"/>
  <c r="Z35" i="18" s="1"/>
  <c r="X37" i="18"/>
  <c r="Y37" i="18" s="1"/>
  <c r="Z37" i="18" s="1"/>
  <c r="X39" i="18"/>
  <c r="Y39" i="18" s="1"/>
  <c r="Z39" i="18" s="1"/>
  <c r="X41" i="18"/>
  <c r="Y41" i="18" s="1"/>
  <c r="Z41" i="18" s="1"/>
  <c r="X43" i="18"/>
  <c r="Y43" i="18" s="1"/>
  <c r="Z43" i="18" s="1"/>
  <c r="X45" i="18"/>
  <c r="Y45" i="18" s="1"/>
  <c r="Z45" i="18" s="1"/>
  <c r="X47" i="18"/>
  <c r="Y47" i="18" s="1"/>
  <c r="Z47" i="18" s="1"/>
  <c r="X49" i="18"/>
  <c r="Y49" i="18" s="1"/>
  <c r="Z49" i="18" s="1"/>
  <c r="X51" i="18"/>
  <c r="Y51" i="18" s="1"/>
  <c r="Z51" i="18" s="1"/>
  <c r="X53" i="18"/>
  <c r="Y53" i="18" s="1"/>
  <c r="Z53" i="18" s="1"/>
  <c r="X55" i="18"/>
  <c r="Y55" i="18" s="1"/>
  <c r="Z55" i="18" s="1"/>
  <c r="X57" i="18"/>
  <c r="Y57" i="18" s="1"/>
  <c r="Z57" i="18" s="1"/>
  <c r="X59" i="18"/>
  <c r="Y59" i="18" s="1"/>
  <c r="Z59" i="18" s="1"/>
  <c r="X61" i="18"/>
  <c r="Y61" i="18" s="1"/>
  <c r="Z61" i="18" s="1"/>
  <c r="X63" i="18"/>
  <c r="Y63" i="18" s="1"/>
  <c r="Z63" i="18" s="1"/>
  <c r="X65" i="18"/>
  <c r="Y65" i="18" s="1"/>
  <c r="Z65" i="18" s="1"/>
  <c r="X67" i="18"/>
  <c r="Y67" i="18" s="1"/>
  <c r="Z67" i="18" s="1"/>
  <c r="X69" i="18"/>
  <c r="Y69" i="18" s="1"/>
  <c r="Z69" i="18" s="1"/>
  <c r="X71" i="18"/>
  <c r="Y71" i="18" s="1"/>
  <c r="Z71" i="18" s="1"/>
  <c r="X73" i="18"/>
  <c r="Y73" i="18" s="1"/>
  <c r="Z73" i="18" s="1"/>
  <c r="X75" i="18"/>
  <c r="Y75" i="18" s="1"/>
  <c r="Z75" i="18" s="1"/>
  <c r="X77" i="18"/>
  <c r="Y77" i="18" s="1"/>
  <c r="Z77" i="18" s="1"/>
  <c r="X79" i="18"/>
  <c r="Y79" i="18" s="1"/>
  <c r="Z79" i="18" s="1"/>
  <c r="X81" i="18"/>
  <c r="Y81" i="18" s="1"/>
  <c r="Z81" i="18" s="1"/>
  <c r="X83" i="18"/>
  <c r="Y83" i="18" s="1"/>
  <c r="Z83" i="18" s="1"/>
  <c r="X85" i="18"/>
  <c r="Y85" i="18" s="1"/>
  <c r="Z85" i="18" s="1"/>
  <c r="X87" i="18"/>
  <c r="Y87" i="18" s="1"/>
  <c r="Z87" i="18" s="1"/>
  <c r="X89" i="18"/>
  <c r="Y89" i="18" s="1"/>
  <c r="Z89" i="18" s="1"/>
  <c r="X91" i="18"/>
  <c r="Y91" i="18" s="1"/>
  <c r="Z91" i="18" s="1"/>
  <c r="X93" i="18"/>
  <c r="Y93" i="18" s="1"/>
  <c r="Z93" i="18" s="1"/>
  <c r="X95" i="18"/>
  <c r="Y95" i="18" s="1"/>
  <c r="Z95" i="18" s="1"/>
  <c r="X97" i="18"/>
  <c r="Y97" i="18" s="1"/>
  <c r="Z97" i="18" s="1"/>
  <c r="X99" i="18"/>
  <c r="Y99" i="18" s="1"/>
  <c r="Z99" i="18" s="1"/>
  <c r="X101" i="18"/>
  <c r="Y101" i="18" s="1"/>
  <c r="Z101" i="18" s="1"/>
  <c r="X103" i="18"/>
  <c r="Y103" i="18" s="1"/>
  <c r="Z103" i="18" s="1"/>
  <c r="X105" i="18"/>
  <c r="Y105" i="18" s="1"/>
  <c r="Z105" i="18" s="1"/>
  <c r="X107" i="18"/>
  <c r="Y107" i="18" s="1"/>
  <c r="Z107" i="18" s="1"/>
  <c r="X109" i="18"/>
  <c r="Y109" i="18" s="1"/>
  <c r="Z109" i="18" s="1"/>
  <c r="X111" i="18"/>
  <c r="Y111" i="18" s="1"/>
  <c r="Z111" i="18" s="1"/>
  <c r="X113" i="18"/>
  <c r="Y113" i="18" s="1"/>
  <c r="Z113" i="18" s="1"/>
  <c r="X115" i="18"/>
  <c r="Y115" i="18" s="1"/>
  <c r="Z115" i="18" s="1"/>
  <c r="X117" i="18"/>
  <c r="Y117" i="18" s="1"/>
  <c r="Z117" i="18" s="1"/>
  <c r="X119" i="18"/>
  <c r="Y119" i="18" s="1"/>
  <c r="Z119" i="18" s="1"/>
  <c r="X121" i="18"/>
  <c r="Y121" i="18" s="1"/>
  <c r="Z121" i="18" s="1"/>
  <c r="X123" i="18"/>
  <c r="Y123" i="18" s="1"/>
  <c r="Z123" i="18" s="1"/>
  <c r="X125" i="18"/>
  <c r="Y125" i="18" s="1"/>
  <c r="Z125" i="18" s="1"/>
  <c r="X127" i="18"/>
  <c r="Y127" i="18" s="1"/>
  <c r="Z127" i="18" s="1"/>
  <c r="X129" i="18"/>
  <c r="Y129" i="18" s="1"/>
  <c r="Z129" i="18" s="1"/>
  <c r="X131" i="18"/>
  <c r="Y131" i="18" s="1"/>
  <c r="Z131" i="18" s="1"/>
  <c r="X133" i="18"/>
  <c r="Y133" i="18" s="1"/>
  <c r="Z133" i="18" s="1"/>
  <c r="X135" i="18"/>
  <c r="Y135" i="18" s="1"/>
  <c r="Z135" i="18" s="1"/>
  <c r="X137" i="18"/>
  <c r="Y137" i="18" s="1"/>
  <c r="Z137" i="18" s="1"/>
  <c r="X139" i="18"/>
  <c r="Y139" i="18" s="1"/>
  <c r="Z139" i="18" s="1"/>
  <c r="X141" i="18"/>
  <c r="Y141" i="18" s="1"/>
  <c r="Z141" i="18" s="1"/>
  <c r="X143" i="18"/>
  <c r="Y143" i="18" s="1"/>
  <c r="Z143" i="18" s="1"/>
  <c r="X145" i="18"/>
  <c r="Y145" i="18" s="1"/>
  <c r="Z145" i="18" s="1"/>
  <c r="X147" i="18"/>
  <c r="Y147" i="18" s="1"/>
  <c r="Z147" i="18" s="1"/>
  <c r="X149" i="18"/>
  <c r="Y149" i="18" s="1"/>
  <c r="Z149" i="18" s="1"/>
  <c r="X151" i="18"/>
  <c r="Y151" i="18" s="1"/>
  <c r="Z151" i="18" s="1"/>
  <c r="X153" i="18"/>
  <c r="Y153" i="18" s="1"/>
  <c r="Z153" i="18" s="1"/>
  <c r="X155" i="18"/>
  <c r="Y155" i="18" s="1"/>
  <c r="Z155" i="18" s="1"/>
  <c r="X157" i="18"/>
  <c r="Y157" i="18" s="1"/>
  <c r="Z157" i="18" s="1"/>
  <c r="X159" i="18"/>
  <c r="Y159" i="18" s="1"/>
  <c r="Z159" i="18" s="1"/>
  <c r="X161" i="18"/>
  <c r="Y161" i="18" s="1"/>
  <c r="Z161" i="18" s="1"/>
  <c r="X163" i="18"/>
  <c r="Y163" i="18" s="1"/>
  <c r="Z163" i="18" s="1"/>
  <c r="X165" i="18"/>
  <c r="Y165" i="18" s="1"/>
  <c r="Z165" i="18" s="1"/>
  <c r="X167" i="18"/>
  <c r="Y167" i="18" s="1"/>
  <c r="Z167" i="18" s="1"/>
  <c r="X169" i="18"/>
  <c r="Y169" i="18" s="1"/>
  <c r="Z169" i="18" s="1"/>
  <c r="X171" i="18"/>
  <c r="Y171" i="18" s="1"/>
  <c r="Z171" i="18" s="1"/>
  <c r="X173" i="18"/>
  <c r="Y173" i="18" s="1"/>
  <c r="Z173" i="18" s="1"/>
  <c r="X175" i="18"/>
  <c r="Y175" i="18" s="1"/>
  <c r="Z175" i="18" s="1"/>
  <c r="X177" i="18"/>
  <c r="Y177" i="18" s="1"/>
  <c r="Z177" i="18" s="1"/>
  <c r="X179" i="18"/>
  <c r="Y179" i="18" s="1"/>
  <c r="Z179" i="18" s="1"/>
  <c r="X181" i="18"/>
  <c r="Y181" i="18" s="1"/>
  <c r="Z181" i="18" s="1"/>
  <c r="X183" i="18"/>
  <c r="Y183" i="18" s="1"/>
  <c r="Z183" i="18" s="1"/>
  <c r="X185" i="18"/>
  <c r="Y185" i="18" s="1"/>
  <c r="Z185" i="18" s="1"/>
  <c r="X187" i="18"/>
  <c r="Y187" i="18" s="1"/>
  <c r="Z187" i="18" s="1"/>
  <c r="X189" i="18"/>
  <c r="Y189" i="18" s="1"/>
  <c r="Z189" i="18" s="1"/>
  <c r="X191" i="18"/>
  <c r="Y191" i="18" s="1"/>
  <c r="Z191" i="18" s="1"/>
  <c r="X193" i="18"/>
  <c r="Y193" i="18" s="1"/>
  <c r="Z193" i="18" s="1"/>
  <c r="X195" i="18"/>
  <c r="Y195" i="18" s="1"/>
  <c r="Z195" i="18" s="1"/>
  <c r="X197" i="18"/>
  <c r="Y197" i="18" s="1"/>
  <c r="Z197" i="18" s="1"/>
  <c r="X199" i="18"/>
  <c r="Y199" i="18" s="1"/>
  <c r="Z199" i="18" s="1"/>
  <c r="X201" i="18"/>
  <c r="Y201" i="18" s="1"/>
  <c r="Z201" i="18" s="1"/>
  <c r="X203" i="18"/>
  <c r="Y203" i="18" s="1"/>
  <c r="Z203" i="18" s="1"/>
  <c r="X205" i="18"/>
  <c r="Y205" i="18" s="1"/>
  <c r="Z205" i="18" s="1"/>
  <c r="X207" i="18"/>
  <c r="Y207" i="18" s="1"/>
  <c r="Z207" i="18" s="1"/>
  <c r="X209" i="18"/>
  <c r="Y209" i="18" s="1"/>
  <c r="Z209" i="18" s="1"/>
  <c r="X211" i="18"/>
  <c r="Y211" i="18" s="1"/>
  <c r="Z211" i="18" s="1"/>
  <c r="X213" i="18"/>
  <c r="Y213" i="18" s="1"/>
  <c r="Z213" i="18" s="1"/>
  <c r="X215" i="18"/>
  <c r="Y215" i="18" s="1"/>
  <c r="Z215" i="18" s="1"/>
  <c r="X217" i="18"/>
  <c r="Y217" i="18" s="1"/>
  <c r="Z217" i="18" s="1"/>
  <c r="X219" i="18"/>
  <c r="Y219" i="18" s="1"/>
  <c r="Z219" i="18" s="1"/>
  <c r="X221" i="18"/>
  <c r="Y221" i="18" s="1"/>
  <c r="Z221" i="18" s="1"/>
  <c r="X223" i="18"/>
  <c r="Y223" i="18" s="1"/>
  <c r="Z223" i="18" s="1"/>
  <c r="X225" i="18"/>
  <c r="Y225" i="18" s="1"/>
  <c r="Z225" i="18" s="1"/>
  <c r="X227" i="18"/>
  <c r="Y227" i="18" s="1"/>
  <c r="Z227" i="18" s="1"/>
  <c r="X229" i="18"/>
  <c r="Y229" i="18" s="1"/>
  <c r="Z229" i="18" s="1"/>
  <c r="X132" i="18"/>
  <c r="Y132" i="18" s="1"/>
  <c r="Z132" i="18" s="1"/>
  <c r="X140" i="18"/>
  <c r="Y140" i="18" s="1"/>
  <c r="Z140" i="18" s="1"/>
  <c r="X148" i="18"/>
  <c r="Y148" i="18" s="1"/>
  <c r="Z148" i="18" s="1"/>
  <c r="X156" i="18"/>
  <c r="Y156" i="18" s="1"/>
  <c r="Z156" i="18" s="1"/>
  <c r="X164" i="18"/>
  <c r="Y164" i="18" s="1"/>
  <c r="Z164" i="18" s="1"/>
  <c r="X172" i="18"/>
  <c r="Y172" i="18" s="1"/>
  <c r="Z172" i="18" s="1"/>
  <c r="X180" i="18"/>
  <c r="Y180" i="18" s="1"/>
  <c r="Z180" i="18" s="1"/>
  <c r="X188" i="18"/>
  <c r="Y188" i="18" s="1"/>
  <c r="Z188" i="18" s="1"/>
  <c r="X196" i="18"/>
  <c r="Y196" i="18" s="1"/>
  <c r="Z196" i="18" s="1"/>
  <c r="X204" i="18"/>
  <c r="Y204" i="18" s="1"/>
  <c r="Z204" i="18" s="1"/>
  <c r="X212" i="18"/>
  <c r="Y212" i="18" s="1"/>
  <c r="Z212" i="18" s="1"/>
  <c r="X220" i="18"/>
  <c r="Y220" i="18" s="1"/>
  <c r="Z220" i="18" s="1"/>
  <c r="X231" i="18"/>
  <c r="Y231" i="18" s="1"/>
  <c r="Z231" i="18" s="1"/>
  <c r="X235" i="18"/>
  <c r="Y235" i="18" s="1"/>
  <c r="Z235" i="18" s="1"/>
  <c r="X239" i="18"/>
  <c r="Y239" i="18" s="1"/>
  <c r="Z239" i="18" s="1"/>
  <c r="X249" i="18"/>
  <c r="Y249" i="18" s="1"/>
  <c r="Z249" i="18" s="1"/>
  <c r="X252" i="18"/>
  <c r="Y252" i="18" s="1"/>
  <c r="Z252" i="18" s="1"/>
  <c r="X265" i="18"/>
  <c r="Y265" i="18" s="1"/>
  <c r="Z265" i="18" s="1"/>
  <c r="X268" i="18"/>
  <c r="Y268" i="18" s="1"/>
  <c r="Z268" i="18" s="1"/>
  <c r="X226" i="18"/>
  <c r="Y226" i="18" s="1"/>
  <c r="Z226" i="18" s="1"/>
  <c r="X243" i="18"/>
  <c r="Y243" i="18" s="1"/>
  <c r="Z243" i="18" s="1"/>
  <c r="X246" i="18"/>
  <c r="Y246" i="18" s="1"/>
  <c r="Z246" i="18" s="1"/>
  <c r="X259" i="18"/>
  <c r="Y259" i="18" s="1"/>
  <c r="Z259" i="18" s="1"/>
  <c r="X262" i="18"/>
  <c r="Y262" i="18" s="1"/>
  <c r="Z262" i="18" s="1"/>
  <c r="X274" i="18"/>
  <c r="Y274" i="18" s="1"/>
  <c r="Z274" i="18" s="1"/>
  <c r="X134" i="18"/>
  <c r="Y134" i="18" s="1"/>
  <c r="Z134" i="18" s="1"/>
  <c r="X142" i="18"/>
  <c r="Y142" i="18" s="1"/>
  <c r="Z142" i="18" s="1"/>
  <c r="X150" i="18"/>
  <c r="Y150" i="18" s="1"/>
  <c r="Z150" i="18" s="1"/>
  <c r="X158" i="18"/>
  <c r="Y158" i="18" s="1"/>
  <c r="Z158" i="18" s="1"/>
  <c r="X166" i="18"/>
  <c r="Y166" i="18" s="1"/>
  <c r="Z166" i="18" s="1"/>
  <c r="X174" i="18"/>
  <c r="Y174" i="18" s="1"/>
  <c r="Z174" i="18" s="1"/>
  <c r="X182" i="18"/>
  <c r="Y182" i="18" s="1"/>
  <c r="Z182" i="18" s="1"/>
  <c r="X190" i="18"/>
  <c r="Y190" i="18" s="1"/>
  <c r="Z190" i="18" s="1"/>
  <c r="X198" i="18"/>
  <c r="Y198" i="18" s="1"/>
  <c r="Z198" i="18" s="1"/>
  <c r="X206" i="18"/>
  <c r="Y206" i="18" s="1"/>
  <c r="Z206" i="18" s="1"/>
  <c r="X214" i="18"/>
  <c r="Y214" i="18" s="1"/>
  <c r="Z214" i="18" s="1"/>
  <c r="X253" i="18"/>
  <c r="Y253" i="18" s="1"/>
  <c r="Z253" i="18" s="1"/>
  <c r="X256" i="18"/>
  <c r="Y256" i="18" s="1"/>
  <c r="Z256" i="18" s="1"/>
  <c r="X269" i="18"/>
  <c r="Y269" i="18" s="1"/>
  <c r="Z269" i="18" s="1"/>
  <c r="X272" i="18"/>
  <c r="Y272" i="18" s="1"/>
  <c r="Z272" i="18" s="1"/>
  <c r="X136" i="18"/>
  <c r="Y136" i="18" s="1"/>
  <c r="Z136" i="18" s="1"/>
  <c r="X144" i="18"/>
  <c r="Y144" i="18" s="1"/>
  <c r="Z144" i="18" s="1"/>
  <c r="X152" i="18"/>
  <c r="Y152" i="18" s="1"/>
  <c r="Z152" i="18" s="1"/>
  <c r="X160" i="18"/>
  <c r="Y160" i="18" s="1"/>
  <c r="Z160" i="18" s="1"/>
  <c r="X168" i="18"/>
  <c r="Y168" i="18" s="1"/>
  <c r="Z168" i="18" s="1"/>
  <c r="X176" i="18"/>
  <c r="Y176" i="18" s="1"/>
  <c r="Z176" i="18" s="1"/>
  <c r="X184" i="18"/>
  <c r="Y184" i="18" s="1"/>
  <c r="Z184" i="18" s="1"/>
  <c r="X192" i="18"/>
  <c r="Y192" i="18" s="1"/>
  <c r="Z192" i="18" s="1"/>
  <c r="X200" i="18"/>
  <c r="Y200" i="18" s="1"/>
  <c r="Z200" i="18" s="1"/>
  <c r="X208" i="18"/>
  <c r="Y208" i="18" s="1"/>
  <c r="Z208" i="18" s="1"/>
  <c r="X216" i="18"/>
  <c r="Y216" i="18" s="1"/>
  <c r="Z216" i="18" s="1"/>
  <c r="X228" i="18"/>
  <c r="Y228" i="18" s="1"/>
  <c r="Z228" i="18" s="1"/>
  <c r="X233" i="18"/>
  <c r="Y233" i="18" s="1"/>
  <c r="Z233" i="18" s="1"/>
  <c r="X237" i="18"/>
  <c r="Y237" i="18" s="1"/>
  <c r="Z237" i="18" s="1"/>
  <c r="X241" i="18"/>
  <c r="Y241" i="18" s="1"/>
  <c r="Z241" i="18" s="1"/>
  <c r="X244" i="18"/>
  <c r="Y244" i="18" s="1"/>
  <c r="Z244" i="18" s="1"/>
  <c r="X257" i="18"/>
  <c r="Y257" i="18" s="1"/>
  <c r="Z257" i="18" s="1"/>
  <c r="X260" i="18"/>
  <c r="Y260" i="18" s="1"/>
  <c r="Z260" i="18" s="1"/>
  <c r="X251" i="18"/>
  <c r="Y251" i="18" s="1"/>
  <c r="Z251" i="18" s="1"/>
  <c r="X254" i="18"/>
  <c r="Y254" i="18" s="1"/>
  <c r="Z254" i="18" s="1"/>
  <c r="X267" i="18"/>
  <c r="Y267" i="18" s="1"/>
  <c r="Z267" i="18" s="1"/>
  <c r="X270" i="18"/>
  <c r="Y270" i="18" s="1"/>
  <c r="Z270" i="18" s="1"/>
  <c r="X273" i="18"/>
  <c r="Y273" i="18" s="1"/>
  <c r="Z273" i="18" s="1"/>
  <c r="X138" i="18"/>
  <c r="Y138" i="18" s="1"/>
  <c r="Z138" i="18" s="1"/>
  <c r="X202" i="18"/>
  <c r="Y202" i="18" s="1"/>
  <c r="Z202" i="18" s="1"/>
  <c r="X222" i="18"/>
  <c r="Y222" i="18" s="1"/>
  <c r="Z222" i="18" s="1"/>
  <c r="X234" i="18"/>
  <c r="Y234" i="18" s="1"/>
  <c r="Z234" i="18" s="1"/>
  <c r="X245" i="18"/>
  <c r="Y245" i="18" s="1"/>
  <c r="Z245" i="18" s="1"/>
  <c r="X162" i="18"/>
  <c r="Y162" i="18" s="1"/>
  <c r="Z162" i="18" s="1"/>
  <c r="X224" i="18"/>
  <c r="Y224" i="18" s="1"/>
  <c r="Z224" i="18" s="1"/>
  <c r="X236" i="18"/>
  <c r="Y236" i="18" s="1"/>
  <c r="Z236" i="18" s="1"/>
  <c r="X263" i="18"/>
  <c r="Y263" i="18" s="1"/>
  <c r="Z263" i="18" s="1"/>
  <c r="X271" i="18"/>
  <c r="Y271" i="18" s="1"/>
  <c r="Z271" i="18" s="1"/>
  <c r="X186" i="18"/>
  <c r="Y186" i="18" s="1"/>
  <c r="Z186" i="18" s="1"/>
  <c r="X247" i="18"/>
  <c r="Y247" i="18" s="1"/>
  <c r="Z247" i="18" s="1"/>
  <c r="X255" i="18"/>
  <c r="Y255" i="18" s="1"/>
  <c r="Z255" i="18" s="1"/>
  <c r="X264" i="18"/>
  <c r="Y264" i="18" s="1"/>
  <c r="Z264" i="18" s="1"/>
  <c r="X146" i="18"/>
  <c r="Y146" i="18" s="1"/>
  <c r="Z146" i="18" s="1"/>
  <c r="X210" i="18"/>
  <c r="Y210" i="18" s="1"/>
  <c r="Z210" i="18" s="1"/>
  <c r="X238" i="18"/>
  <c r="Y238" i="18" s="1"/>
  <c r="Z238" i="18" s="1"/>
  <c r="X248" i="18"/>
  <c r="Y248" i="18" s="1"/>
  <c r="Z248" i="18" s="1"/>
  <c r="X170" i="18"/>
  <c r="Y170" i="18" s="1"/>
  <c r="Z170" i="18" s="1"/>
  <c r="X240" i="18"/>
  <c r="Y240" i="18" s="1"/>
  <c r="Z240" i="18" s="1"/>
  <c r="X266" i="18"/>
  <c r="Y266" i="18" s="1"/>
  <c r="Z266" i="18" s="1"/>
  <c r="X194" i="18"/>
  <c r="Y194" i="18" s="1"/>
  <c r="Z194" i="18" s="1"/>
  <c r="X230" i="18"/>
  <c r="Y230" i="18" s="1"/>
  <c r="Z230" i="18" s="1"/>
  <c r="X250" i="18"/>
  <c r="Y250" i="18" s="1"/>
  <c r="Z250" i="18" s="1"/>
  <c r="X258" i="18"/>
  <c r="Y258" i="18" s="1"/>
  <c r="Z258" i="18" s="1"/>
  <c r="X242" i="18"/>
  <c r="Y242" i="18" s="1"/>
  <c r="Z242" i="18" s="1"/>
  <c r="X178" i="18"/>
  <c r="Y178" i="18" s="1"/>
  <c r="Z178" i="18" s="1"/>
  <c r="X261" i="18"/>
  <c r="Y261" i="18" s="1"/>
  <c r="Z261" i="18" s="1"/>
  <c r="X154" i="18"/>
  <c r="Y154" i="18" s="1"/>
  <c r="Z154" i="18" s="1"/>
  <c r="X232" i="18"/>
  <c r="Y232" i="18" s="1"/>
  <c r="Z232" i="18" s="1"/>
  <c r="X218" i="18"/>
  <c r="Y218" i="18" s="1"/>
  <c r="Z218" i="18" s="1"/>
  <c r="X24" i="18" l="1"/>
  <c r="Y26" i="18"/>
  <c r="Z26" i="18" l="1"/>
  <c r="Y24" i="18"/>
  <c r="Y25" i="18"/>
  <c r="O10" i="30" l="1"/>
  <c r="Z22" i="18" a="1"/>
  <c r="Z22" i="18" s="1"/>
  <c r="Z23" i="18" a="1"/>
  <c r="Z23" i="18" s="1"/>
  <c r="AA22" i="18" a="1"/>
  <c r="AA22" i="18" s="1"/>
  <c r="AA19" i="18" a="1"/>
  <c r="AA19" i="18" s="1"/>
  <c r="AA26" i="18" l="1"/>
  <c r="AA275" i="18"/>
  <c r="AD275" i="18" s="1"/>
  <c r="AF275" i="18" s="1"/>
  <c r="AA276" i="18"/>
  <c r="AD276" i="18" s="1"/>
  <c r="AF276" i="18" s="1"/>
  <c r="AA277" i="18"/>
  <c r="AD277" i="18" s="1"/>
  <c r="AF277" i="18" s="1"/>
  <c r="AA278" i="18"/>
  <c r="AD278" i="18" s="1"/>
  <c r="AF278" i="18" s="1"/>
  <c r="AA73" i="18"/>
  <c r="AD73" i="18" s="1"/>
  <c r="AF73" i="18" s="1"/>
  <c r="AA246" i="18"/>
  <c r="AD246" i="18" s="1"/>
  <c r="AF246" i="18" s="1"/>
  <c r="AA138" i="18"/>
  <c r="AD138" i="18" s="1"/>
  <c r="AF138" i="18" s="1"/>
  <c r="AA71" i="18"/>
  <c r="AD71" i="18" s="1"/>
  <c r="AF71" i="18" s="1"/>
  <c r="AA85" i="18"/>
  <c r="AD85" i="18" s="1"/>
  <c r="AF85" i="18" s="1"/>
  <c r="AA195" i="18"/>
  <c r="AD195" i="18" s="1"/>
  <c r="AF195" i="18" s="1"/>
  <c r="AA145" i="18"/>
  <c r="AD145" i="18" s="1"/>
  <c r="AF145" i="18" s="1"/>
  <c r="AA194" i="18"/>
  <c r="AD194" i="18" s="1"/>
  <c r="AF194" i="18" s="1"/>
  <c r="AA243" i="18"/>
  <c r="AD243" i="18" s="1"/>
  <c r="AF243" i="18" s="1"/>
  <c r="AA143" i="18"/>
  <c r="AD143" i="18" s="1"/>
  <c r="AF143" i="18" s="1"/>
  <c r="AA120" i="18"/>
  <c r="AD120" i="18" s="1"/>
  <c r="AF120" i="18" s="1"/>
  <c r="AA150" i="18"/>
  <c r="AD150" i="18" s="1"/>
  <c r="AF150" i="18" s="1"/>
  <c r="AA157" i="18"/>
  <c r="AD157" i="18" s="1"/>
  <c r="AF157" i="18" s="1"/>
  <c r="AA240" i="18"/>
  <c r="AD240" i="18" s="1"/>
  <c r="AF240" i="18" s="1"/>
  <c r="AA139" i="18"/>
  <c r="AD139" i="18" s="1"/>
  <c r="AF139" i="18" s="1"/>
  <c r="AA201" i="18"/>
  <c r="AD201" i="18" s="1"/>
  <c r="AF201" i="18" s="1"/>
  <c r="AA199" i="18"/>
  <c r="AD199" i="18" s="1"/>
  <c r="AF199" i="18" s="1"/>
  <c r="AA213" i="18"/>
  <c r="AD213" i="18" s="1"/>
  <c r="AF213" i="18" s="1"/>
  <c r="AA67" i="18"/>
  <c r="AD67" i="18" s="1"/>
  <c r="AF67" i="18" s="1"/>
  <c r="AA122" i="18"/>
  <c r="AD122" i="18" s="1"/>
  <c r="AF122" i="18" s="1"/>
  <c r="AA264" i="18"/>
  <c r="AD264" i="18" s="1"/>
  <c r="AF264" i="18" s="1"/>
  <c r="AA231" i="18"/>
  <c r="AD231" i="18" s="1"/>
  <c r="AF231" i="18" s="1"/>
  <c r="AA127" i="18"/>
  <c r="AD127" i="18" s="1"/>
  <c r="AF127" i="18" s="1"/>
  <c r="AA104" i="18"/>
  <c r="AD104" i="18" s="1"/>
  <c r="AF104" i="18" s="1"/>
  <c r="AA266" i="18"/>
  <c r="AD266" i="18" s="1"/>
  <c r="AF266" i="18" s="1"/>
  <c r="AA226" i="18"/>
  <c r="AD226" i="18" s="1"/>
  <c r="AF226" i="18" s="1"/>
  <c r="AA141" i="18"/>
  <c r="AD141" i="18" s="1"/>
  <c r="AF141" i="18" s="1"/>
  <c r="AA118" i="18"/>
  <c r="AD118" i="18" s="1"/>
  <c r="AF118" i="18" s="1"/>
  <c r="AA247" i="18"/>
  <c r="AD247" i="18" s="1"/>
  <c r="AF247" i="18" s="1"/>
  <c r="AA212" i="18"/>
  <c r="AD212" i="18" s="1"/>
  <c r="AF212" i="18" s="1"/>
  <c r="AA123" i="18"/>
  <c r="AD123" i="18" s="1"/>
  <c r="AF123" i="18" s="1"/>
  <c r="AA100" i="18"/>
  <c r="AD100" i="18" s="1"/>
  <c r="AF100" i="18" s="1"/>
  <c r="AA260" i="18"/>
  <c r="AD260" i="18" s="1"/>
  <c r="AF260" i="18" s="1"/>
  <c r="AA185" i="18"/>
  <c r="AD185" i="18" s="1"/>
  <c r="AF185" i="18" s="1"/>
  <c r="AA57" i="18"/>
  <c r="AD57" i="18" s="1"/>
  <c r="AF57" i="18" s="1"/>
  <c r="AA34" i="18"/>
  <c r="AD34" i="18" s="1"/>
  <c r="AF34" i="18" s="1"/>
  <c r="AA136" i="18"/>
  <c r="AD136" i="18" s="1"/>
  <c r="AF136" i="18" s="1"/>
  <c r="AA183" i="18"/>
  <c r="AD183" i="18" s="1"/>
  <c r="AF183" i="18" s="1"/>
  <c r="AA55" i="18"/>
  <c r="AD55" i="18" s="1"/>
  <c r="AF55" i="18" s="1"/>
  <c r="AA32" i="18"/>
  <c r="AD32" i="18" s="1"/>
  <c r="AF32" i="18" s="1"/>
  <c r="AA192" i="18"/>
  <c r="AD192" i="18" s="1"/>
  <c r="AF192" i="18" s="1"/>
  <c r="AA197" i="18"/>
  <c r="AD197" i="18" s="1"/>
  <c r="AF197" i="18" s="1"/>
  <c r="AA69" i="18"/>
  <c r="AD69" i="18" s="1"/>
  <c r="AF69" i="18" s="1"/>
  <c r="AA46" i="18"/>
  <c r="AD46" i="18" s="1"/>
  <c r="AF46" i="18" s="1"/>
  <c r="AA269" i="18"/>
  <c r="AD269" i="18" s="1"/>
  <c r="AF269" i="18" s="1"/>
  <c r="AA179" i="18"/>
  <c r="AD179" i="18" s="1"/>
  <c r="AF179" i="18" s="1"/>
  <c r="AA51" i="18"/>
  <c r="AD51" i="18" s="1"/>
  <c r="AF51" i="18" s="1"/>
  <c r="AA28" i="18"/>
  <c r="AD28" i="18" s="1"/>
  <c r="AF28" i="18" s="1"/>
  <c r="AA235" i="18"/>
  <c r="AD235" i="18" s="1"/>
  <c r="AF235" i="18" s="1"/>
  <c r="AA129" i="18"/>
  <c r="AD129" i="18" s="1"/>
  <c r="AF129" i="18" s="1"/>
  <c r="AA106" i="18"/>
  <c r="AD106" i="18" s="1"/>
  <c r="AF106" i="18" s="1"/>
  <c r="AA162" i="18"/>
  <c r="AD162" i="18" s="1"/>
  <c r="AF162" i="18" s="1"/>
  <c r="AA164" i="18"/>
  <c r="AD164" i="18" s="1"/>
  <c r="AF164" i="18" s="1"/>
  <c r="AA111" i="18"/>
  <c r="AD111" i="18" s="1"/>
  <c r="AF111" i="18" s="1"/>
  <c r="AA88" i="18"/>
  <c r="AD88" i="18" s="1"/>
  <c r="AF88" i="18" s="1"/>
  <c r="AA255" i="18"/>
  <c r="AD255" i="18" s="1"/>
  <c r="AF255" i="18" s="1"/>
  <c r="AA220" i="18"/>
  <c r="AD220" i="18" s="1"/>
  <c r="AF220" i="18" s="1"/>
  <c r="AA125" i="18"/>
  <c r="AD125" i="18" s="1"/>
  <c r="AF125" i="18" s="1"/>
  <c r="AA102" i="18"/>
  <c r="AD102" i="18" s="1"/>
  <c r="AF102" i="18" s="1"/>
  <c r="AA234" i="18"/>
  <c r="AD234" i="18" s="1"/>
  <c r="AF234" i="18" s="1"/>
  <c r="AA148" i="18"/>
  <c r="AD148" i="18" s="1"/>
  <c r="AF148" i="18" s="1"/>
  <c r="AA107" i="18"/>
  <c r="AD107" i="18" s="1"/>
  <c r="AF107" i="18" s="1"/>
  <c r="AA84" i="18"/>
  <c r="AD84" i="18" s="1"/>
  <c r="AF84" i="18" s="1"/>
  <c r="AA144" i="18"/>
  <c r="AD144" i="18" s="1"/>
  <c r="AF144" i="18" s="1"/>
  <c r="AA169" i="18"/>
  <c r="AD169" i="18" s="1"/>
  <c r="AF169" i="18" s="1"/>
  <c r="AA41" i="18"/>
  <c r="AD41" i="18" s="1"/>
  <c r="AF41" i="18" s="1"/>
  <c r="AA198" i="18"/>
  <c r="AD198" i="18" s="1"/>
  <c r="AF198" i="18" s="1"/>
  <c r="AA190" i="18"/>
  <c r="AD190" i="18" s="1"/>
  <c r="AF190" i="18" s="1"/>
  <c r="AA167" i="18"/>
  <c r="AD167" i="18" s="1"/>
  <c r="AF167" i="18" s="1"/>
  <c r="AA39" i="18"/>
  <c r="AD39" i="18" s="1"/>
  <c r="AF39" i="18" s="1"/>
  <c r="AA170" i="18"/>
  <c r="AD170" i="18" s="1"/>
  <c r="AF170" i="18" s="1"/>
  <c r="AA272" i="18"/>
  <c r="AD272" i="18" s="1"/>
  <c r="AF272" i="18" s="1"/>
  <c r="AA181" i="18"/>
  <c r="AD181" i="18" s="1"/>
  <c r="AF181" i="18" s="1"/>
  <c r="AA53" i="18"/>
  <c r="AD53" i="18" s="1"/>
  <c r="AF53" i="18" s="1"/>
  <c r="AA30" i="18"/>
  <c r="AD30" i="18" s="1"/>
  <c r="AF30" i="18" s="1"/>
  <c r="AA174" i="18"/>
  <c r="AD174" i="18" s="1"/>
  <c r="AF174" i="18" s="1"/>
  <c r="AA163" i="18"/>
  <c r="AD163" i="18" s="1"/>
  <c r="AF163" i="18" s="1"/>
  <c r="AA35" i="18"/>
  <c r="AD35" i="18" s="1"/>
  <c r="AF35" i="18" s="1"/>
  <c r="AA218" i="18"/>
  <c r="AD218" i="18" s="1"/>
  <c r="AF218" i="18" s="1"/>
  <c r="AA172" i="18"/>
  <c r="AD172" i="18" s="1"/>
  <c r="AF172" i="18" s="1"/>
  <c r="AA113" i="18"/>
  <c r="AD113" i="18" s="1"/>
  <c r="AF113" i="18" s="1"/>
  <c r="AA90" i="18"/>
  <c r="AD90" i="18" s="1"/>
  <c r="AF90" i="18" s="1"/>
  <c r="AA267" i="18"/>
  <c r="AD267" i="18" s="1"/>
  <c r="AF267" i="18" s="1"/>
  <c r="AA223" i="18"/>
  <c r="AD223" i="18" s="1"/>
  <c r="AF223" i="18" s="1"/>
  <c r="AA95" i="18"/>
  <c r="AD95" i="18" s="1"/>
  <c r="AF95" i="18" s="1"/>
  <c r="AA72" i="18"/>
  <c r="AD72" i="18" s="1"/>
  <c r="AF72" i="18" s="1"/>
  <c r="AA245" i="18"/>
  <c r="AD245" i="18" s="1"/>
  <c r="AF245" i="18" s="1"/>
  <c r="AA156" i="18"/>
  <c r="AD156" i="18" s="1"/>
  <c r="AF156" i="18" s="1"/>
  <c r="AA109" i="18"/>
  <c r="AD109" i="18" s="1"/>
  <c r="AF109" i="18" s="1"/>
  <c r="AA86" i="18"/>
  <c r="AD86" i="18" s="1"/>
  <c r="AF86" i="18" s="1"/>
  <c r="AA251" i="18"/>
  <c r="AD251" i="18" s="1"/>
  <c r="AF251" i="18" s="1"/>
  <c r="AA219" i="18"/>
  <c r="AD219" i="18" s="1"/>
  <c r="AF219" i="18" s="1"/>
  <c r="AA91" i="18"/>
  <c r="AD91" i="18" s="1"/>
  <c r="AF91" i="18" s="1"/>
  <c r="AA68" i="18"/>
  <c r="AD68" i="18" s="1"/>
  <c r="AF68" i="18" s="1"/>
  <c r="AA134" i="18"/>
  <c r="AD134" i="18" s="1"/>
  <c r="AF134" i="18" s="1"/>
  <c r="AA153" i="18"/>
  <c r="AD153" i="18" s="1"/>
  <c r="AF153" i="18" s="1"/>
  <c r="AA130" i="18"/>
  <c r="AD130" i="18" s="1"/>
  <c r="AF130" i="18" s="1"/>
  <c r="AA242" i="18"/>
  <c r="AD242" i="18" s="1"/>
  <c r="AF242" i="18" s="1"/>
  <c r="AA274" i="18"/>
  <c r="AD274" i="18" s="1"/>
  <c r="AF274" i="18" s="1"/>
  <c r="AA151" i="18"/>
  <c r="AD151" i="18" s="1"/>
  <c r="AF151" i="18" s="1"/>
  <c r="AA128" i="18"/>
  <c r="AD128" i="18" s="1"/>
  <c r="AF128" i="18" s="1"/>
  <c r="AA208" i="18"/>
  <c r="AD208" i="18" s="1"/>
  <c r="AF208" i="18" s="1"/>
  <c r="AA165" i="18"/>
  <c r="AD165" i="18" s="1"/>
  <c r="AF165" i="18" s="1"/>
  <c r="AA37" i="18"/>
  <c r="AD37" i="18" s="1"/>
  <c r="AF37" i="18" s="1"/>
  <c r="AA250" i="18"/>
  <c r="AD250" i="18" s="1"/>
  <c r="AF250" i="18" s="1"/>
  <c r="AA259" i="18"/>
  <c r="AD259" i="18" s="1"/>
  <c r="AF259" i="18" s="1"/>
  <c r="AA147" i="18"/>
  <c r="AD147" i="18" s="1"/>
  <c r="AF147" i="18" s="1"/>
  <c r="AA124" i="18"/>
  <c r="AD124" i="18" s="1"/>
  <c r="AF124" i="18" s="1"/>
  <c r="AA146" i="18"/>
  <c r="AD146" i="18" s="1"/>
  <c r="AF146" i="18" s="1"/>
  <c r="AA225" i="18"/>
  <c r="AD225" i="18" s="1"/>
  <c r="AF225" i="18" s="1"/>
  <c r="AA97" i="18"/>
  <c r="AD97" i="18" s="1"/>
  <c r="AF97" i="18" s="1"/>
  <c r="AA74" i="18"/>
  <c r="AD74" i="18" s="1"/>
  <c r="AF74" i="18" s="1"/>
  <c r="AA79" i="18"/>
  <c r="AD79" i="18" s="1"/>
  <c r="AF79" i="18" s="1"/>
  <c r="AA221" i="18"/>
  <c r="AD221" i="18" s="1"/>
  <c r="AF221" i="18" s="1"/>
  <c r="AA70" i="18"/>
  <c r="AD70" i="18" s="1"/>
  <c r="AF70" i="18" s="1"/>
  <c r="AA203" i="18"/>
  <c r="AD203" i="18" s="1"/>
  <c r="AF203" i="18" s="1"/>
  <c r="AA52" i="18"/>
  <c r="AD52" i="18" s="1"/>
  <c r="AF52" i="18" s="1"/>
  <c r="AA265" i="18"/>
  <c r="AD265" i="18" s="1"/>
  <c r="AF265" i="18" s="1"/>
  <c r="AA248" i="18"/>
  <c r="AD248" i="18" s="1"/>
  <c r="AF248" i="18" s="1"/>
  <c r="AA252" i="18"/>
  <c r="AD252" i="18" s="1"/>
  <c r="AF252" i="18" s="1"/>
  <c r="AA258" i="18"/>
  <c r="AD258" i="18" s="1"/>
  <c r="AF258" i="18" s="1"/>
  <c r="AA262" i="18"/>
  <c r="AD262" i="18" s="1"/>
  <c r="AF262" i="18" s="1"/>
  <c r="AA210" i="18"/>
  <c r="AD210" i="18" s="1"/>
  <c r="AF210" i="18" s="1"/>
  <c r="AA239" i="18"/>
  <c r="AD239" i="18" s="1"/>
  <c r="AF239" i="18" s="1"/>
  <c r="AA224" i="18"/>
  <c r="AD224" i="18" s="1"/>
  <c r="AF224" i="18" s="1"/>
  <c r="AA58" i="18"/>
  <c r="AD58" i="18" s="1"/>
  <c r="AF58" i="18" s="1"/>
  <c r="AA114" i="18"/>
  <c r="AD114" i="18" s="1"/>
  <c r="AF114" i="18" s="1"/>
  <c r="AA209" i="18"/>
  <c r="AD209" i="18" s="1"/>
  <c r="AF209" i="18" s="1"/>
  <c r="AA182" i="18"/>
  <c r="AD182" i="18" s="1"/>
  <c r="AF182" i="18" s="1"/>
  <c r="AA112" i="18"/>
  <c r="AD112" i="18" s="1"/>
  <c r="AF112" i="18" s="1"/>
  <c r="AA126" i="18"/>
  <c r="AD126" i="18" s="1"/>
  <c r="AF126" i="18" s="1"/>
  <c r="AA131" i="18"/>
  <c r="AD131" i="18" s="1"/>
  <c r="AF131" i="18" s="1"/>
  <c r="AA81" i="18"/>
  <c r="AD81" i="18" s="1"/>
  <c r="AF81" i="18" s="1"/>
  <c r="AA233" i="18"/>
  <c r="AD233" i="18" s="1"/>
  <c r="AF233" i="18" s="1"/>
  <c r="AA207" i="18"/>
  <c r="AD207" i="18" s="1"/>
  <c r="AF207" i="18" s="1"/>
  <c r="AA56" i="18"/>
  <c r="AD56" i="18" s="1"/>
  <c r="AF56" i="18" s="1"/>
  <c r="AA254" i="18"/>
  <c r="AD254" i="18" s="1"/>
  <c r="AF254" i="18" s="1"/>
  <c r="AA93" i="18"/>
  <c r="AD93" i="18" s="1"/>
  <c r="AF93" i="18" s="1"/>
  <c r="AA216" i="18"/>
  <c r="AD216" i="18" s="1"/>
  <c r="AF216" i="18" s="1"/>
  <c r="AA75" i="18"/>
  <c r="AD75" i="18" s="1"/>
  <c r="AF75" i="18" s="1"/>
  <c r="AA137" i="18"/>
  <c r="AD137" i="18" s="1"/>
  <c r="AF137" i="18" s="1"/>
  <c r="AA135" i="18"/>
  <c r="AD135" i="18" s="1"/>
  <c r="AF135" i="18" s="1"/>
  <c r="AA149" i="18"/>
  <c r="AD149" i="18" s="1"/>
  <c r="AF149" i="18" s="1"/>
  <c r="AA108" i="18"/>
  <c r="AD108" i="18" s="1"/>
  <c r="AF108" i="18" s="1"/>
  <c r="AA168" i="18"/>
  <c r="AD168" i="18" s="1"/>
  <c r="AF168" i="18" s="1"/>
  <c r="AA191" i="18"/>
  <c r="AD191" i="18" s="1"/>
  <c r="AF191" i="18" s="1"/>
  <c r="AA63" i="18"/>
  <c r="AD63" i="18" s="1"/>
  <c r="AF63" i="18" s="1"/>
  <c r="AA40" i="18"/>
  <c r="AD40" i="18" s="1"/>
  <c r="AF40" i="18" s="1"/>
  <c r="AA228" i="18"/>
  <c r="AD228" i="18" s="1"/>
  <c r="AF228" i="18" s="1"/>
  <c r="AA205" i="18"/>
  <c r="AD205" i="18" s="1"/>
  <c r="AF205" i="18" s="1"/>
  <c r="AA77" i="18"/>
  <c r="AD77" i="18" s="1"/>
  <c r="AF77" i="18" s="1"/>
  <c r="AA54" i="18"/>
  <c r="AD54" i="18" s="1"/>
  <c r="AF54" i="18" s="1"/>
  <c r="AA152" i="18"/>
  <c r="AD152" i="18" s="1"/>
  <c r="AF152" i="18" s="1"/>
  <c r="AA187" i="18"/>
  <c r="AD187" i="18" s="1"/>
  <c r="AF187" i="18" s="1"/>
  <c r="AA59" i="18"/>
  <c r="AD59" i="18" s="1"/>
  <c r="AF59" i="18" s="1"/>
  <c r="AA36" i="18"/>
  <c r="AD36" i="18" s="1"/>
  <c r="AF36" i="18" s="1"/>
  <c r="AA204" i="18"/>
  <c r="AD204" i="18" s="1"/>
  <c r="AF204" i="18" s="1"/>
  <c r="AA121" i="18"/>
  <c r="AD121" i="18" s="1"/>
  <c r="AF121" i="18" s="1"/>
  <c r="AA98" i="18"/>
  <c r="AD98" i="18" s="1"/>
  <c r="AF98" i="18" s="1"/>
  <c r="AA271" i="18"/>
  <c r="AD271" i="18" s="1"/>
  <c r="AF271" i="18" s="1"/>
  <c r="AA196" i="18"/>
  <c r="AD196" i="18" s="1"/>
  <c r="AF196" i="18" s="1"/>
  <c r="AA119" i="18"/>
  <c r="AD119" i="18" s="1"/>
  <c r="AF119" i="18" s="1"/>
  <c r="AA96" i="18"/>
  <c r="AD96" i="18" s="1"/>
  <c r="AF96" i="18" s="1"/>
  <c r="AA238" i="18"/>
  <c r="AD238" i="18" s="1"/>
  <c r="AF238" i="18" s="1"/>
  <c r="AA249" i="18"/>
  <c r="AD249" i="18" s="1"/>
  <c r="AF249" i="18" s="1"/>
  <c r="AA133" i="18"/>
  <c r="AD133" i="18" s="1"/>
  <c r="AF133" i="18" s="1"/>
  <c r="AA110" i="18"/>
  <c r="AD110" i="18" s="1"/>
  <c r="AF110" i="18" s="1"/>
  <c r="AA236" i="18"/>
  <c r="AD236" i="18" s="1"/>
  <c r="AF236" i="18" s="1"/>
  <c r="AA180" i="18"/>
  <c r="AD180" i="18" s="1"/>
  <c r="AF180" i="18" s="1"/>
  <c r="AA115" i="18"/>
  <c r="AD115" i="18" s="1"/>
  <c r="AF115" i="18" s="1"/>
  <c r="AA92" i="18"/>
  <c r="AD92" i="18" s="1"/>
  <c r="AF92" i="18" s="1"/>
  <c r="AA270" i="18"/>
  <c r="AD270" i="18" s="1"/>
  <c r="AF270" i="18" s="1"/>
  <c r="AA193" i="18"/>
  <c r="AD193" i="18" s="1"/>
  <c r="AF193" i="18" s="1"/>
  <c r="AA65" i="18"/>
  <c r="AD65" i="18" s="1"/>
  <c r="AF65" i="18" s="1"/>
  <c r="AA42" i="18"/>
  <c r="AD42" i="18" s="1"/>
  <c r="AF42" i="18" s="1"/>
  <c r="AA256" i="18"/>
  <c r="AD256" i="18" s="1"/>
  <c r="AF256" i="18" s="1"/>
  <c r="AA253" i="18"/>
  <c r="AD253" i="18" s="1"/>
  <c r="AF253" i="18" s="1"/>
  <c r="AA175" i="18"/>
  <c r="AD175" i="18" s="1"/>
  <c r="AF175" i="18" s="1"/>
  <c r="AA47" i="18"/>
  <c r="AD47" i="18" s="1"/>
  <c r="AF47" i="18" s="1"/>
  <c r="AA230" i="18"/>
  <c r="AD230" i="18" s="1"/>
  <c r="AF230" i="18" s="1"/>
  <c r="AA160" i="18"/>
  <c r="AD160" i="18" s="1"/>
  <c r="AF160" i="18" s="1"/>
  <c r="AA189" i="18"/>
  <c r="AD189" i="18" s="1"/>
  <c r="AF189" i="18" s="1"/>
  <c r="AA61" i="18"/>
  <c r="AD61" i="18" s="1"/>
  <c r="AF61" i="18" s="1"/>
  <c r="AA38" i="18"/>
  <c r="AD38" i="18" s="1"/>
  <c r="AF38" i="18" s="1"/>
  <c r="AA206" i="18"/>
  <c r="AD206" i="18" s="1"/>
  <c r="AF206" i="18" s="1"/>
  <c r="AA171" i="18"/>
  <c r="AD171" i="18" s="1"/>
  <c r="AF171" i="18" s="1"/>
  <c r="AA43" i="18"/>
  <c r="AD43" i="18" s="1"/>
  <c r="AF43" i="18" s="1"/>
  <c r="AA178" i="18"/>
  <c r="AD178" i="18" s="1"/>
  <c r="AF178" i="18" s="1"/>
  <c r="AA140" i="18"/>
  <c r="AD140" i="18" s="1"/>
  <c r="AF140" i="18" s="1"/>
  <c r="AA105" i="18"/>
  <c r="AD105" i="18" s="1"/>
  <c r="AF105" i="18" s="1"/>
  <c r="AA82" i="18"/>
  <c r="AD82" i="18" s="1"/>
  <c r="AF82" i="18" s="1"/>
  <c r="AA202" i="18"/>
  <c r="AD202" i="18" s="1"/>
  <c r="AF202" i="18" s="1"/>
  <c r="AA132" i="18"/>
  <c r="AD132" i="18" s="1"/>
  <c r="AF132" i="18" s="1"/>
  <c r="AA103" i="18"/>
  <c r="AD103" i="18" s="1"/>
  <c r="AF103" i="18" s="1"/>
  <c r="AA80" i="18"/>
  <c r="AD80" i="18" s="1"/>
  <c r="AF80" i="18" s="1"/>
  <c r="AA263" i="18"/>
  <c r="AD263" i="18" s="1"/>
  <c r="AF263" i="18" s="1"/>
  <c r="AA188" i="18"/>
  <c r="AD188" i="18" s="1"/>
  <c r="AF188" i="18" s="1"/>
  <c r="AA117" i="18"/>
  <c r="AD117" i="18" s="1"/>
  <c r="AF117" i="18" s="1"/>
  <c r="AA94" i="18"/>
  <c r="AD94" i="18" s="1"/>
  <c r="AF94" i="18" s="1"/>
  <c r="AA273" i="18"/>
  <c r="AD273" i="18" s="1"/>
  <c r="AF273" i="18" s="1"/>
  <c r="AA227" i="18"/>
  <c r="AD227" i="18" s="1"/>
  <c r="AF227" i="18" s="1"/>
  <c r="AA99" i="18"/>
  <c r="AD99" i="18" s="1"/>
  <c r="AF99" i="18" s="1"/>
  <c r="AA76" i="18"/>
  <c r="AD76" i="18" s="1"/>
  <c r="AF76" i="18" s="1"/>
  <c r="AA176" i="18"/>
  <c r="AD176" i="18" s="1"/>
  <c r="AF176" i="18" s="1"/>
  <c r="AA177" i="18"/>
  <c r="AD177" i="18" s="1"/>
  <c r="AF177" i="18" s="1"/>
  <c r="AA49" i="18"/>
  <c r="AD49" i="18" s="1"/>
  <c r="AF49" i="18" s="1"/>
  <c r="AA232" i="18"/>
  <c r="AD232" i="18" s="1"/>
  <c r="AF232" i="18" s="1"/>
  <c r="AA158" i="18"/>
  <c r="AD158" i="18" s="1"/>
  <c r="AF158" i="18" s="1"/>
  <c r="AA159" i="18"/>
  <c r="AD159" i="18" s="1"/>
  <c r="AF159" i="18" s="1"/>
  <c r="AA31" i="18"/>
  <c r="AD31" i="18" s="1"/>
  <c r="AF31" i="18" s="1"/>
  <c r="AA237" i="18"/>
  <c r="AD237" i="18" s="1"/>
  <c r="AF237" i="18" s="1"/>
  <c r="AA214" i="18"/>
  <c r="AD214" i="18" s="1"/>
  <c r="AF214" i="18" s="1"/>
  <c r="AA173" i="18"/>
  <c r="AD173" i="18" s="1"/>
  <c r="AF173" i="18" s="1"/>
  <c r="AA45" i="18"/>
  <c r="AD45" i="18" s="1"/>
  <c r="AF45" i="18" s="1"/>
  <c r="AA261" i="18"/>
  <c r="AD261" i="18" s="1"/>
  <c r="AF261" i="18" s="1"/>
  <c r="AA142" i="18"/>
  <c r="AD142" i="18" s="1"/>
  <c r="AF142" i="18" s="1"/>
  <c r="AA155" i="18"/>
  <c r="AD155" i="18" s="1"/>
  <c r="AF155" i="18" s="1"/>
  <c r="AA27" i="18"/>
  <c r="AD27" i="18" s="1"/>
  <c r="AF27" i="18" s="1"/>
  <c r="AA186" i="18"/>
  <c r="AD186" i="18" s="1"/>
  <c r="AF186" i="18" s="1"/>
  <c r="AA217" i="18"/>
  <c r="AD217" i="18" s="1"/>
  <c r="AF217" i="18" s="1"/>
  <c r="AA89" i="18"/>
  <c r="AD89" i="18" s="1"/>
  <c r="AF89" i="18" s="1"/>
  <c r="AA66" i="18"/>
  <c r="AD66" i="18" s="1"/>
  <c r="AF66" i="18" s="1"/>
  <c r="AA257" i="18"/>
  <c r="AD257" i="18" s="1"/>
  <c r="AF257" i="18" s="1"/>
  <c r="AA215" i="18"/>
  <c r="AD215" i="18" s="1"/>
  <c r="AF215" i="18" s="1"/>
  <c r="AA87" i="18"/>
  <c r="AD87" i="18" s="1"/>
  <c r="AF87" i="18" s="1"/>
  <c r="AA64" i="18"/>
  <c r="AD64" i="18" s="1"/>
  <c r="AF64" i="18" s="1"/>
  <c r="AA229" i="18"/>
  <c r="AD229" i="18" s="1"/>
  <c r="AF229" i="18" s="1"/>
  <c r="AA101" i="18"/>
  <c r="AD101" i="18" s="1"/>
  <c r="AF101" i="18" s="1"/>
  <c r="AA78" i="18"/>
  <c r="AD78" i="18" s="1"/>
  <c r="AF78" i="18" s="1"/>
  <c r="AA241" i="18"/>
  <c r="AD241" i="18" s="1"/>
  <c r="AF241" i="18" s="1"/>
  <c r="AA211" i="18"/>
  <c r="AD211" i="18" s="1"/>
  <c r="AF211" i="18" s="1"/>
  <c r="AA83" i="18"/>
  <c r="AD83" i="18" s="1"/>
  <c r="AF83" i="18" s="1"/>
  <c r="AA60" i="18"/>
  <c r="AD60" i="18" s="1"/>
  <c r="AF60" i="18" s="1"/>
  <c r="AA166" i="18"/>
  <c r="AD166" i="18" s="1"/>
  <c r="AF166" i="18" s="1"/>
  <c r="AA161" i="18"/>
  <c r="AD161" i="18" s="1"/>
  <c r="AF161" i="18" s="1"/>
  <c r="AA33" i="18"/>
  <c r="AD33" i="18" s="1"/>
  <c r="AF33" i="18" s="1"/>
  <c r="AA154" i="18"/>
  <c r="AD154" i="18" s="1"/>
  <c r="AF154" i="18" s="1"/>
  <c r="AA29" i="18"/>
  <c r="AD29" i="18" s="1"/>
  <c r="AF29" i="18" s="1"/>
  <c r="AA268" i="18"/>
  <c r="AD268" i="18" s="1"/>
  <c r="AF268" i="18" s="1"/>
  <c r="AA116" i="18"/>
  <c r="AD116" i="18" s="1"/>
  <c r="AF116" i="18" s="1"/>
  <c r="AA222" i="18"/>
  <c r="AD222" i="18" s="1"/>
  <c r="AF222" i="18" s="1"/>
  <c r="AA50" i="18"/>
  <c r="AD50" i="18" s="1"/>
  <c r="AF50" i="18" s="1"/>
  <c r="AA200" i="18"/>
  <c r="AD200" i="18" s="1"/>
  <c r="AF200" i="18" s="1"/>
  <c r="AA48" i="18"/>
  <c r="AD48" i="18" s="1"/>
  <c r="AF48" i="18" s="1"/>
  <c r="AA244" i="18"/>
  <c r="AD244" i="18" s="1"/>
  <c r="AF244" i="18" s="1"/>
  <c r="AA62" i="18"/>
  <c r="AD62" i="18" s="1"/>
  <c r="AF62" i="18" s="1"/>
  <c r="AA184" i="18"/>
  <c r="AD184" i="18" s="1"/>
  <c r="AF184" i="18" s="1"/>
  <c r="AA44" i="18"/>
  <c r="AD44" i="18" s="1"/>
  <c r="AF44" i="18" s="1"/>
  <c r="AF26" i="18" l="1"/>
  <c r="P13" i="30" s="1"/>
  <c r="AD24" i="18"/>
  <c r="AA23" i="18"/>
  <c r="P10" i="30" l="1"/>
  <c r="Q9" i="30" s="1"/>
  <c r="AF24" i="18"/>
  <c r="Q197" i="30" l="1"/>
  <c r="Q142" i="30"/>
  <c r="Q172" i="30"/>
  <c r="Q104" i="30"/>
  <c r="Q59" i="30"/>
  <c r="Q156" i="30"/>
  <c r="Q221" i="30"/>
  <c r="Q139" i="30"/>
  <c r="R139" i="30" s="1"/>
  <c r="T139" i="30" s="1"/>
  <c r="Q114" i="30"/>
  <c r="Q175" i="30"/>
  <c r="Q151" i="30"/>
  <c r="Q158" i="30"/>
  <c r="Q14" i="30"/>
  <c r="Q44" i="30"/>
  <c r="Q28" i="30"/>
  <c r="Q247" i="30"/>
  <c r="R247" i="30" s="1"/>
  <c r="T247" i="30" s="1"/>
  <c r="Q141" i="30"/>
  <c r="Q218" i="30"/>
  <c r="Q242" i="30"/>
  <c r="Q217" i="30"/>
  <c r="Q73" i="30"/>
  <c r="Q128" i="30"/>
  <c r="Q207" i="30"/>
  <c r="Q109" i="30"/>
  <c r="R109" i="30" s="1"/>
  <c r="T109" i="30" s="1"/>
  <c r="Q124" i="30"/>
  <c r="Q123" i="30"/>
  <c r="Q107" i="30"/>
  <c r="Q210" i="30"/>
  <c r="Q113" i="30"/>
  <c r="Q206" i="30"/>
  <c r="Q198" i="30"/>
  <c r="Q58" i="30"/>
  <c r="R58" i="30" s="1"/>
  <c r="T58" i="30" s="1"/>
  <c r="Q220" i="30"/>
  <c r="Q76" i="30"/>
  <c r="Q203" i="30"/>
  <c r="Q178" i="30"/>
  <c r="Q137" i="30"/>
  <c r="Q228" i="30"/>
  <c r="Q162" i="30"/>
  <c r="Q18" i="30"/>
  <c r="R18" i="30" s="1"/>
  <c r="T18" i="30" s="1"/>
  <c r="Q193" i="30"/>
  <c r="Q184" i="30"/>
  <c r="Q103" i="30"/>
  <c r="Q92" i="30"/>
  <c r="Q219" i="30"/>
  <c r="Q75" i="30"/>
  <c r="Q50" i="30"/>
  <c r="Q34" i="30"/>
  <c r="R34" i="30" s="1"/>
  <c r="T34" i="30" s="1"/>
  <c r="Q22" i="30"/>
  <c r="Q179" i="30"/>
  <c r="Q63" i="30"/>
  <c r="Q87" i="30"/>
  <c r="Q255" i="30"/>
  <c r="Q111" i="30"/>
  <c r="Q190" i="30"/>
  <c r="Q171" i="30"/>
  <c r="R171" i="30" s="1"/>
  <c r="T171" i="30" s="1"/>
  <c r="Q27" i="30"/>
  <c r="Q130" i="30"/>
  <c r="Q177" i="30"/>
  <c r="Q161" i="30"/>
  <c r="Q17" i="30"/>
  <c r="Q41" i="30"/>
  <c r="Q72" i="30"/>
  <c r="Q222" i="30"/>
  <c r="R222" i="30" s="1"/>
  <c r="T222" i="30" s="1"/>
  <c r="Q135" i="30"/>
  <c r="Q15" i="30"/>
  <c r="R15" i="30" s="1"/>
  <c r="T15" i="30" s="1"/>
  <c r="Q226" i="30"/>
  <c r="Q82" i="30"/>
  <c r="Q257" i="30"/>
  <c r="Q248" i="30"/>
  <c r="Q116" i="30"/>
  <c r="Q79" i="30"/>
  <c r="R79" i="30" s="1"/>
  <c r="T79" i="30" s="1"/>
  <c r="Q232" i="30"/>
  <c r="Q88" i="30"/>
  <c r="Q231" i="30"/>
  <c r="Q246" i="30"/>
  <c r="Q254" i="30"/>
  <c r="Q98" i="30"/>
  <c r="Q61" i="30"/>
  <c r="Q129" i="30"/>
  <c r="Q120" i="30"/>
  <c r="Q227" i="30"/>
  <c r="Q83" i="30"/>
  <c r="Q13" i="30"/>
  <c r="Q146" i="30"/>
  <c r="Q240" i="30"/>
  <c r="Q30" i="30"/>
  <c r="Q188" i="30"/>
  <c r="R188" i="30" s="1"/>
  <c r="T188" i="30" s="1"/>
  <c r="Q187" i="30"/>
  <c r="Q225" i="30"/>
  <c r="Q81" i="30"/>
  <c r="Q200" i="30"/>
  <c r="Q215" i="30"/>
  <c r="Q199" i="30"/>
  <c r="Q55" i="30"/>
  <c r="Q97" i="30"/>
  <c r="R97" i="30" s="1"/>
  <c r="T97" i="30" s="1"/>
  <c r="Q131" i="30"/>
  <c r="Q170" i="30"/>
  <c r="Q78" i="30"/>
  <c r="Q166" i="30"/>
  <c r="Q62" i="30"/>
  <c r="Q239" i="30"/>
  <c r="Q31" i="30"/>
  <c r="Q46" i="30"/>
  <c r="R46" i="30" s="1"/>
  <c r="T46" i="30" s="1"/>
  <c r="Q192" i="30"/>
  <c r="Q19" i="30"/>
  <c r="Q191" i="30"/>
  <c r="Q249" i="30"/>
  <c r="Q33" i="30"/>
  <c r="Q152" i="30"/>
  <c r="Q245" i="30"/>
  <c r="Q23" i="30"/>
  <c r="Q251" i="30"/>
  <c r="Q205" i="30"/>
  <c r="Q229" i="30"/>
  <c r="Q150" i="30"/>
  <c r="Q244" i="30"/>
  <c r="Q36" i="30"/>
  <c r="Q56" i="30"/>
  <c r="Q168" i="30"/>
  <c r="R168" i="30" s="1"/>
  <c r="T168" i="30" s="1"/>
  <c r="Q24" i="30"/>
  <c r="Q167" i="30"/>
  <c r="Q182" i="30"/>
  <c r="Q69" i="30"/>
  <c r="Q252" i="30"/>
  <c r="Q208" i="30"/>
  <c r="Q68" i="30"/>
  <c r="Q235" i="30"/>
  <c r="R235" i="30" s="1"/>
  <c r="T235" i="30" s="1"/>
  <c r="Q91" i="30"/>
  <c r="Q194" i="30"/>
  <c r="Q241" i="30"/>
  <c r="Q53" i="30"/>
  <c r="Q119" i="30"/>
  <c r="Q45" i="30"/>
  <c r="Q237" i="30"/>
  <c r="Q157" i="30"/>
  <c r="R157" i="30" s="1"/>
  <c r="T157" i="30" s="1"/>
  <c r="Q132" i="30"/>
  <c r="Q212" i="30"/>
  <c r="Q223" i="30"/>
  <c r="Q174" i="30"/>
  <c r="Q185" i="30"/>
  <c r="Q74" i="30"/>
  <c r="Q71" i="30"/>
  <c r="Q214" i="30"/>
  <c r="Q70" i="30"/>
  <c r="Q100" i="30"/>
  <c r="Q118" i="30"/>
  <c r="Q216" i="30"/>
  <c r="Q84" i="30"/>
  <c r="Q211" i="30"/>
  <c r="Q250" i="30"/>
  <c r="Q42" i="30"/>
  <c r="R42" i="30" s="1"/>
  <c r="T42" i="30" s="1"/>
  <c r="Q233" i="30"/>
  <c r="Q230" i="30"/>
  <c r="Q86" i="30"/>
  <c r="Q180" i="30"/>
  <c r="Q243" i="30"/>
  <c r="Q32" i="30"/>
  <c r="Q258" i="30"/>
  <c r="Q189" i="30"/>
  <c r="R189" i="30" s="1"/>
  <c r="T189" i="30" s="1"/>
  <c r="Q144" i="30"/>
  <c r="Q85" i="30"/>
  <c r="Q145" i="30"/>
  <c r="Q29" i="30"/>
  <c r="Q133" i="30"/>
  <c r="Q38" i="30"/>
  <c r="Q196" i="30"/>
  <c r="Q21" i="30"/>
  <c r="R21" i="30" s="1"/>
  <c r="T21" i="30" s="1"/>
  <c r="Q51" i="30"/>
  <c r="Q35" i="30"/>
  <c r="Q138" i="30"/>
  <c r="Q25" i="30"/>
  <c r="Q49" i="30"/>
  <c r="Q159" i="30"/>
  <c r="Q126" i="30"/>
  <c r="Q148" i="30"/>
  <c r="Q181" i="30"/>
  <c r="Q67" i="30"/>
  <c r="Q106" i="30"/>
  <c r="Q93" i="30"/>
  <c r="Q213" i="30"/>
  <c r="Q90" i="30"/>
  <c r="Q37" i="30"/>
  <c r="Q57" i="30"/>
  <c r="R57" i="30" s="1"/>
  <c r="T57" i="30" s="1"/>
  <c r="Q112" i="30"/>
  <c r="Q101" i="30"/>
  <c r="Q20" i="30"/>
  <c r="Q147" i="30"/>
  <c r="Q186" i="30"/>
  <c r="Q117" i="30"/>
  <c r="Q94" i="30"/>
  <c r="Q65" i="30"/>
  <c r="R65" i="30" s="1"/>
  <c r="T65" i="30" s="1"/>
  <c r="Q234" i="30"/>
  <c r="Q125" i="30"/>
  <c r="Q40" i="30"/>
  <c r="Q183" i="30"/>
  <c r="Q39" i="30"/>
  <c r="Q54" i="30"/>
  <c r="Q99" i="30"/>
  <c r="Q202" i="30"/>
  <c r="R202" i="30" s="1"/>
  <c r="T202" i="30" s="1"/>
  <c r="Q165" i="30"/>
  <c r="Q105" i="30"/>
  <c r="Q89" i="30"/>
  <c r="Q66" i="30"/>
  <c r="Q140" i="30"/>
  <c r="Q164" i="30"/>
  <c r="Q80" i="30"/>
  <c r="Q47" i="30"/>
  <c r="R47" i="30" s="1"/>
  <c r="T47" i="30" s="1"/>
  <c r="Q154" i="30"/>
  <c r="Q253" i="30"/>
  <c r="Q121" i="30"/>
  <c r="Q176" i="30"/>
  <c r="Q60" i="30"/>
  <c r="Q236" i="30"/>
  <c r="Q160" i="30"/>
  <c r="Q16" i="30"/>
  <c r="R16" i="30" s="1"/>
  <c r="T16" i="30" s="1"/>
  <c r="Q95" i="30"/>
  <c r="Q110" i="30"/>
  <c r="Q195" i="30"/>
  <c r="Q26" i="30"/>
  <c r="Q201" i="30"/>
  <c r="Q256" i="30"/>
  <c r="Q48" i="30"/>
  <c r="Q155" i="30"/>
  <c r="R155" i="30" s="1"/>
  <c r="T155" i="30" s="1"/>
  <c r="Q122" i="30"/>
  <c r="Q43" i="30"/>
  <c r="Q134" i="30"/>
  <c r="Q102" i="30"/>
  <c r="Q77" i="30"/>
  <c r="Q52" i="30"/>
  <c r="Q115" i="30"/>
  <c r="Q153" i="30"/>
  <c r="R153" i="30" s="1"/>
  <c r="T153" i="30" s="1"/>
  <c r="Q173" i="30"/>
  <c r="Q64" i="30"/>
  <c r="Q143" i="30"/>
  <c r="Q127" i="30"/>
  <c r="Q136" i="30"/>
  <c r="Q149" i="30"/>
  <c r="Q238" i="30"/>
  <c r="Q224" i="30"/>
  <c r="R224" i="30" s="1"/>
  <c r="T224" i="30" s="1"/>
  <c r="Q108" i="30"/>
  <c r="Q96" i="30"/>
  <c r="Q209" i="30"/>
  <c r="Q163" i="30"/>
  <c r="Q169" i="30"/>
  <c r="Q204" i="30"/>
  <c r="R26" i="30"/>
  <c r="T26" i="30" s="1"/>
  <c r="R50" i="30"/>
  <c r="T50" i="30" s="1"/>
  <c r="R66" i="30"/>
  <c r="T66" i="30" s="1"/>
  <c r="R74" i="30"/>
  <c r="T74" i="30" s="1"/>
  <c r="R82" i="30"/>
  <c r="T82" i="30" s="1"/>
  <c r="R90" i="30"/>
  <c r="T90" i="30" s="1"/>
  <c r="R98" i="30"/>
  <c r="T98" i="30" s="1"/>
  <c r="R19" i="30"/>
  <c r="T19" i="30" s="1"/>
  <c r="R27" i="30"/>
  <c r="T27" i="30" s="1"/>
  <c r="R35" i="30"/>
  <c r="T35" i="30" s="1"/>
  <c r="R43" i="30"/>
  <c r="T43" i="30" s="1"/>
  <c r="R51" i="30"/>
  <c r="T51" i="30" s="1"/>
  <c r="R59" i="30"/>
  <c r="T59" i="30" s="1"/>
  <c r="R67" i="30"/>
  <c r="T67" i="30" s="1"/>
  <c r="R75" i="30"/>
  <c r="T75" i="30" s="1"/>
  <c r="R83" i="30"/>
  <c r="T83" i="30" s="1"/>
  <c r="R91" i="30"/>
  <c r="T91" i="30" s="1"/>
  <c r="R99" i="30"/>
  <c r="T99" i="30" s="1"/>
  <c r="R107" i="30"/>
  <c r="T107" i="30" s="1"/>
  <c r="R115" i="30"/>
  <c r="T115" i="30" s="1"/>
  <c r="R20" i="30"/>
  <c r="T20" i="30" s="1"/>
  <c r="R28" i="30"/>
  <c r="T28" i="30" s="1"/>
  <c r="R36" i="30"/>
  <c r="T36" i="30" s="1"/>
  <c r="R44" i="30"/>
  <c r="T44" i="30" s="1"/>
  <c r="R52" i="30"/>
  <c r="T52" i="30" s="1"/>
  <c r="R60" i="30"/>
  <c r="T60" i="30" s="1"/>
  <c r="R68" i="30"/>
  <c r="T68" i="30" s="1"/>
  <c r="R76" i="30"/>
  <c r="T76" i="30" s="1"/>
  <c r="R84" i="30"/>
  <c r="T84" i="30" s="1"/>
  <c r="R92" i="30"/>
  <c r="T92" i="30" s="1"/>
  <c r="R100" i="30"/>
  <c r="T100" i="30" s="1"/>
  <c r="R108" i="30"/>
  <c r="T108" i="30" s="1"/>
  <c r="R116" i="30"/>
  <c r="T116" i="30" s="1"/>
  <c r="R29" i="30"/>
  <c r="T29" i="30" s="1"/>
  <c r="R37" i="30"/>
  <c r="T37" i="30" s="1"/>
  <c r="R45" i="30"/>
  <c r="T45" i="30" s="1"/>
  <c r="R53" i="30"/>
  <c r="T53" i="30" s="1"/>
  <c r="R61" i="30"/>
  <c r="T61" i="30" s="1"/>
  <c r="R69" i="30"/>
  <c r="T69" i="30" s="1"/>
  <c r="R77" i="30"/>
  <c r="T77" i="30" s="1"/>
  <c r="R85" i="30"/>
  <c r="T85" i="30" s="1"/>
  <c r="R93" i="30"/>
  <c r="T93" i="30" s="1"/>
  <c r="R101" i="30"/>
  <c r="T101" i="30" s="1"/>
  <c r="R117" i="30"/>
  <c r="T117" i="30" s="1"/>
  <c r="R14" i="30"/>
  <c r="T14" i="30" s="1"/>
  <c r="R22" i="30"/>
  <c r="T22" i="30" s="1"/>
  <c r="R30" i="30"/>
  <c r="T30" i="30" s="1"/>
  <c r="R38" i="30"/>
  <c r="T38" i="30" s="1"/>
  <c r="R54" i="30"/>
  <c r="T54" i="30" s="1"/>
  <c r="R62" i="30"/>
  <c r="T62" i="30" s="1"/>
  <c r="R70" i="30"/>
  <c r="T70" i="30" s="1"/>
  <c r="R78" i="30"/>
  <c r="T78" i="30" s="1"/>
  <c r="R86" i="30"/>
  <c r="T86" i="30" s="1"/>
  <c r="R94" i="30"/>
  <c r="T94" i="30" s="1"/>
  <c r="R102" i="30"/>
  <c r="T102" i="30" s="1"/>
  <c r="R110" i="30"/>
  <c r="T110" i="30" s="1"/>
  <c r="R118" i="30"/>
  <c r="T118" i="30" s="1"/>
  <c r="R126" i="30"/>
  <c r="T126" i="30" s="1"/>
  <c r="R23" i="30"/>
  <c r="T23" i="30" s="1"/>
  <c r="R31" i="30"/>
  <c r="T31" i="30" s="1"/>
  <c r="R39" i="30"/>
  <c r="T39" i="30" s="1"/>
  <c r="R55" i="30"/>
  <c r="T55" i="30" s="1"/>
  <c r="R63" i="30"/>
  <c r="T63" i="30" s="1"/>
  <c r="R71" i="30"/>
  <c r="T71" i="30" s="1"/>
  <c r="R87" i="30"/>
  <c r="T87" i="30" s="1"/>
  <c r="R95" i="30"/>
  <c r="T95" i="30" s="1"/>
  <c r="R103" i="30"/>
  <c r="T103" i="30" s="1"/>
  <c r="R24" i="30"/>
  <c r="T24" i="30" s="1"/>
  <c r="R32" i="30"/>
  <c r="T32" i="30" s="1"/>
  <c r="R40" i="30"/>
  <c r="T40" i="30" s="1"/>
  <c r="R48" i="30"/>
  <c r="T48" i="30" s="1"/>
  <c r="R56" i="30"/>
  <c r="T56" i="30" s="1"/>
  <c r="R64" i="30"/>
  <c r="T64" i="30" s="1"/>
  <c r="R72" i="30"/>
  <c r="T72" i="30" s="1"/>
  <c r="R80" i="30"/>
  <c r="T80" i="30" s="1"/>
  <c r="R88" i="30"/>
  <c r="T88" i="30" s="1"/>
  <c r="R96" i="30"/>
  <c r="T96" i="30" s="1"/>
  <c r="R104" i="30"/>
  <c r="T104" i="30" s="1"/>
  <c r="R112" i="30"/>
  <c r="T112" i="30" s="1"/>
  <c r="R120" i="30"/>
  <c r="T120" i="30" s="1"/>
  <c r="R130" i="30"/>
  <c r="T130" i="30" s="1"/>
  <c r="R138" i="30"/>
  <c r="T138" i="30" s="1"/>
  <c r="R146" i="30"/>
  <c r="T146" i="30" s="1"/>
  <c r="R154" i="30"/>
  <c r="T154" i="30" s="1"/>
  <c r="R162" i="30"/>
  <c r="T162" i="30" s="1"/>
  <c r="R170" i="30"/>
  <c r="T170" i="30" s="1"/>
  <c r="R178" i="30"/>
  <c r="T178" i="30" s="1"/>
  <c r="R186" i="30"/>
  <c r="T186" i="30" s="1"/>
  <c r="R194" i="30"/>
  <c r="T194" i="30" s="1"/>
  <c r="R41" i="30"/>
  <c r="T41" i="30" s="1"/>
  <c r="R73" i="30"/>
  <c r="T73" i="30" s="1"/>
  <c r="R111" i="30"/>
  <c r="T111" i="30" s="1"/>
  <c r="R131" i="30"/>
  <c r="T131" i="30" s="1"/>
  <c r="R147" i="30"/>
  <c r="T147" i="30" s="1"/>
  <c r="R163" i="30"/>
  <c r="T163" i="30" s="1"/>
  <c r="R106" i="30"/>
  <c r="T106" i="30" s="1"/>
  <c r="R114" i="30"/>
  <c r="T114" i="30" s="1"/>
  <c r="R132" i="30"/>
  <c r="T132" i="30" s="1"/>
  <c r="R140" i="30"/>
  <c r="T140" i="30" s="1"/>
  <c r="R148" i="30"/>
  <c r="T148" i="30" s="1"/>
  <c r="R156" i="30"/>
  <c r="T156" i="30" s="1"/>
  <c r="R164" i="30"/>
  <c r="T164" i="30" s="1"/>
  <c r="R172" i="30"/>
  <c r="T172" i="30" s="1"/>
  <c r="R180" i="30"/>
  <c r="T180" i="30" s="1"/>
  <c r="R196" i="30"/>
  <c r="T196" i="30" s="1"/>
  <c r="R204" i="30"/>
  <c r="T204" i="30" s="1"/>
  <c r="R33" i="30"/>
  <c r="T33" i="30" s="1"/>
  <c r="R133" i="30"/>
  <c r="T133" i="30" s="1"/>
  <c r="R141" i="30"/>
  <c r="T141" i="30" s="1"/>
  <c r="R149" i="30"/>
  <c r="T149" i="30" s="1"/>
  <c r="R165" i="30"/>
  <c r="T165" i="30" s="1"/>
  <c r="R173" i="30"/>
  <c r="T173" i="30" s="1"/>
  <c r="R181" i="30"/>
  <c r="T181" i="30" s="1"/>
  <c r="R113" i="30"/>
  <c r="T113" i="30" s="1"/>
  <c r="R121" i="30"/>
  <c r="T121" i="30" s="1"/>
  <c r="R134" i="30"/>
  <c r="T134" i="30" s="1"/>
  <c r="R142" i="30"/>
  <c r="T142" i="30" s="1"/>
  <c r="R150" i="30"/>
  <c r="T150" i="30" s="1"/>
  <c r="R158" i="30"/>
  <c r="T158" i="30" s="1"/>
  <c r="R25" i="30"/>
  <c r="T25" i="30" s="1"/>
  <c r="R89" i="30"/>
  <c r="T89" i="30" s="1"/>
  <c r="R105" i="30"/>
  <c r="T105" i="30" s="1"/>
  <c r="R119" i="30"/>
  <c r="T119" i="30" s="1"/>
  <c r="R122" i="30"/>
  <c r="T122" i="30" s="1"/>
  <c r="R123" i="30"/>
  <c r="T123" i="30" s="1"/>
  <c r="R124" i="30"/>
  <c r="T124" i="30" s="1"/>
  <c r="R125" i="30"/>
  <c r="T125" i="30" s="1"/>
  <c r="R127" i="30"/>
  <c r="T127" i="30" s="1"/>
  <c r="R135" i="30"/>
  <c r="T135" i="30" s="1"/>
  <c r="R143" i="30"/>
  <c r="T143" i="30" s="1"/>
  <c r="R151" i="30"/>
  <c r="T151" i="30" s="1"/>
  <c r="R159" i="30"/>
  <c r="T159" i="30" s="1"/>
  <c r="R167" i="30"/>
  <c r="T167" i="30" s="1"/>
  <c r="R128" i="30"/>
  <c r="T128" i="30" s="1"/>
  <c r="R136" i="30"/>
  <c r="T136" i="30" s="1"/>
  <c r="R144" i="30"/>
  <c r="T144" i="30" s="1"/>
  <c r="R152" i="30"/>
  <c r="T152" i="30" s="1"/>
  <c r="R160" i="30"/>
  <c r="T160" i="30" s="1"/>
  <c r="R176" i="30"/>
  <c r="T176" i="30" s="1"/>
  <c r="R184" i="30"/>
  <c r="T184" i="30" s="1"/>
  <c r="R192" i="30"/>
  <c r="T192" i="30" s="1"/>
  <c r="R200" i="30"/>
  <c r="T200" i="30" s="1"/>
  <c r="R177" i="30"/>
  <c r="T177" i="30" s="1"/>
  <c r="R185" i="30"/>
  <c r="T185" i="30" s="1"/>
  <c r="R193" i="30"/>
  <c r="T193" i="30" s="1"/>
  <c r="R199" i="30"/>
  <c r="T199" i="30" s="1"/>
  <c r="R210" i="30"/>
  <c r="T210" i="30" s="1"/>
  <c r="R218" i="30"/>
  <c r="T218" i="30" s="1"/>
  <c r="R226" i="30"/>
  <c r="T226" i="30" s="1"/>
  <c r="R234" i="30"/>
  <c r="T234" i="30" s="1"/>
  <c r="R242" i="30"/>
  <c r="T242" i="30" s="1"/>
  <c r="R250" i="30"/>
  <c r="T250" i="30" s="1"/>
  <c r="R258" i="30"/>
  <c r="T258" i="30" s="1"/>
  <c r="R81" i="30"/>
  <c r="T81" i="30" s="1"/>
  <c r="R211" i="30"/>
  <c r="T211" i="30" s="1"/>
  <c r="R219" i="30"/>
  <c r="T219" i="30" s="1"/>
  <c r="R227" i="30"/>
  <c r="T227" i="30" s="1"/>
  <c r="R243" i="30"/>
  <c r="T243" i="30" s="1"/>
  <c r="R251" i="30"/>
  <c r="T251" i="30" s="1"/>
  <c r="R145" i="30"/>
  <c r="T145" i="30" s="1"/>
  <c r="R197" i="30"/>
  <c r="T197" i="30" s="1"/>
  <c r="R198" i="30"/>
  <c r="T198" i="30" s="1"/>
  <c r="R212" i="30"/>
  <c r="T212" i="30" s="1"/>
  <c r="R220" i="30"/>
  <c r="T220" i="30" s="1"/>
  <c r="R228" i="30"/>
  <c r="T228" i="30" s="1"/>
  <c r="R236" i="30"/>
  <c r="T236" i="30" s="1"/>
  <c r="R244" i="30"/>
  <c r="T244" i="30" s="1"/>
  <c r="R252" i="30"/>
  <c r="T252" i="30" s="1"/>
  <c r="R49" i="30"/>
  <c r="T49" i="30" s="1"/>
  <c r="R169" i="30"/>
  <c r="T169" i="30" s="1"/>
  <c r="R179" i="30"/>
  <c r="T179" i="30" s="1"/>
  <c r="R187" i="30"/>
  <c r="T187" i="30" s="1"/>
  <c r="R203" i="30"/>
  <c r="T203" i="30" s="1"/>
  <c r="R205" i="30"/>
  <c r="T205" i="30" s="1"/>
  <c r="R213" i="30"/>
  <c r="T213" i="30" s="1"/>
  <c r="R221" i="30"/>
  <c r="T221" i="30" s="1"/>
  <c r="R229" i="30"/>
  <c r="T229" i="30" s="1"/>
  <c r="R237" i="30"/>
  <c r="T237" i="30" s="1"/>
  <c r="R245" i="30"/>
  <c r="T245" i="30" s="1"/>
  <c r="R253" i="30"/>
  <c r="T253" i="30" s="1"/>
  <c r="R137" i="30"/>
  <c r="T137" i="30" s="1"/>
  <c r="R175" i="30"/>
  <c r="T175" i="30" s="1"/>
  <c r="R183" i="30"/>
  <c r="T183" i="30" s="1"/>
  <c r="R191" i="30"/>
  <c r="T191" i="30" s="1"/>
  <c r="R195" i="30"/>
  <c r="T195" i="30" s="1"/>
  <c r="R206" i="30"/>
  <c r="T206" i="30" s="1"/>
  <c r="R214" i="30"/>
  <c r="T214" i="30" s="1"/>
  <c r="R230" i="30"/>
  <c r="T230" i="30" s="1"/>
  <c r="R238" i="30"/>
  <c r="T238" i="30" s="1"/>
  <c r="R246" i="30"/>
  <c r="T246" i="30" s="1"/>
  <c r="R254" i="30"/>
  <c r="T254" i="30" s="1"/>
  <c r="R17" i="30"/>
  <c r="T17" i="30" s="1"/>
  <c r="R166" i="30"/>
  <c r="T166" i="30" s="1"/>
  <c r="R201" i="30"/>
  <c r="T201" i="30" s="1"/>
  <c r="R207" i="30"/>
  <c r="T207" i="30" s="1"/>
  <c r="R215" i="30"/>
  <c r="T215" i="30" s="1"/>
  <c r="R223" i="30"/>
  <c r="T223" i="30" s="1"/>
  <c r="R231" i="30"/>
  <c r="T231" i="30" s="1"/>
  <c r="V231" i="30" s="1"/>
  <c r="R239" i="30"/>
  <c r="T239" i="30" s="1"/>
  <c r="R255" i="30"/>
  <c r="T255" i="30" s="1"/>
  <c r="R129" i="30"/>
  <c r="T129" i="30" s="1"/>
  <c r="R174" i="30"/>
  <c r="T174" i="30" s="1"/>
  <c r="R182" i="30"/>
  <c r="T182" i="30" s="1"/>
  <c r="R190" i="30"/>
  <c r="T190" i="30" s="1"/>
  <c r="R208" i="30"/>
  <c r="T208" i="30" s="1"/>
  <c r="R216" i="30"/>
  <c r="T216" i="30" s="1"/>
  <c r="R232" i="30"/>
  <c r="T232" i="30" s="1"/>
  <c r="R240" i="30"/>
  <c r="T240" i="30" s="1"/>
  <c r="R248" i="30"/>
  <c r="T248" i="30" s="1"/>
  <c r="R256" i="30"/>
  <c r="T256" i="30" s="1"/>
  <c r="R161" i="30"/>
  <c r="T161" i="30" s="1"/>
  <c r="R209" i="30"/>
  <c r="T209" i="30" s="1"/>
  <c r="R217" i="30"/>
  <c r="T217" i="30" s="1"/>
  <c r="R225" i="30"/>
  <c r="T225" i="30" s="1"/>
  <c r="R233" i="30"/>
  <c r="T233" i="30" s="1"/>
  <c r="R257" i="30"/>
  <c r="T257" i="30" s="1"/>
  <c r="R249" i="30"/>
  <c r="T249" i="30" s="1"/>
  <c r="R241" i="30"/>
  <c r="T241" i="30" s="1"/>
  <c r="Q10" i="30" l="1"/>
  <c r="V249" i="30"/>
  <c r="W249" i="30" s="1"/>
  <c r="V248" i="30"/>
  <c r="W248" i="30" s="1"/>
  <c r="V174" i="30"/>
  <c r="W174" i="30" s="1"/>
  <c r="V207" i="30"/>
  <c r="W207" i="30" s="1"/>
  <c r="V230" i="30"/>
  <c r="W230" i="30" s="1"/>
  <c r="V137" i="30"/>
  <c r="W137" i="30" s="1"/>
  <c r="V205" i="30"/>
  <c r="W205" i="30" s="1"/>
  <c r="V244" i="30"/>
  <c r="W244" i="30" s="1"/>
  <c r="V258" i="30"/>
  <c r="W258" i="30" s="1"/>
  <c r="V193" i="30"/>
  <c r="W193" i="30" s="1"/>
  <c r="V168" i="30"/>
  <c r="W168" i="30" s="1"/>
  <c r="V151" i="30"/>
  <c r="W151" i="30" s="1"/>
  <c r="V119" i="30"/>
  <c r="W119" i="30" s="1"/>
  <c r="V134" i="30"/>
  <c r="W134" i="30" s="1"/>
  <c r="V149" i="30"/>
  <c r="W149" i="30" s="1"/>
  <c r="V188" i="30"/>
  <c r="W188" i="30" s="1"/>
  <c r="V114" i="30"/>
  <c r="W114" i="30" s="1"/>
  <c r="V111" i="30"/>
  <c r="W111" i="30" s="1"/>
  <c r="V162" i="30"/>
  <c r="W162" i="30" s="1"/>
  <c r="V96" i="30"/>
  <c r="W96" i="30" s="1"/>
  <c r="V32" i="30"/>
  <c r="W32" i="30" s="1"/>
  <c r="V63" i="30"/>
  <c r="W63" i="30" s="1"/>
  <c r="V118" i="30"/>
  <c r="W118" i="30" s="1"/>
  <c r="V54" i="30"/>
  <c r="W54" i="30" s="1"/>
  <c r="V101" i="30"/>
  <c r="W101" i="30" s="1"/>
  <c r="V37" i="30"/>
  <c r="W37" i="30" s="1"/>
  <c r="V76" i="30"/>
  <c r="W76" i="30" s="1"/>
  <c r="V115" i="30"/>
  <c r="W115" i="30" s="1"/>
  <c r="V51" i="30"/>
  <c r="W51" i="30" s="1"/>
  <c r="V74" i="30"/>
  <c r="W74" i="30" s="1"/>
  <c r="V257" i="30"/>
  <c r="W257" i="30" s="1"/>
  <c r="V240" i="30"/>
  <c r="W240" i="30" s="1"/>
  <c r="V129" i="30"/>
  <c r="W129" i="30" s="1"/>
  <c r="V201" i="30"/>
  <c r="W201" i="30" s="1"/>
  <c r="V222" i="30"/>
  <c r="W222" i="30" s="1"/>
  <c r="V203" i="30"/>
  <c r="W203" i="30" s="1"/>
  <c r="V236" i="30"/>
  <c r="W236" i="30" s="1"/>
  <c r="V251" i="30"/>
  <c r="W251" i="30" s="1"/>
  <c r="V250" i="30"/>
  <c r="W250" i="30" s="1"/>
  <c r="V185" i="30"/>
  <c r="W185" i="30" s="1"/>
  <c r="V160" i="30"/>
  <c r="W160" i="30" s="1"/>
  <c r="V143" i="30"/>
  <c r="W143" i="30" s="1"/>
  <c r="V105" i="30"/>
  <c r="W105" i="30" s="1"/>
  <c r="V121" i="30"/>
  <c r="W121" i="30" s="1"/>
  <c r="V141" i="30"/>
  <c r="W141" i="30" s="1"/>
  <c r="V180" i="30"/>
  <c r="W180" i="30" s="1"/>
  <c r="V106" i="30"/>
  <c r="W106" i="30" s="1"/>
  <c r="V73" i="30"/>
  <c r="W73" i="30" s="1"/>
  <c r="V154" i="30"/>
  <c r="W154" i="30" s="1"/>
  <c r="V88" i="30"/>
  <c r="W88" i="30" s="1"/>
  <c r="V24" i="30"/>
  <c r="W24" i="30" s="1"/>
  <c r="V55" i="30"/>
  <c r="W55" i="30" s="1"/>
  <c r="V110" i="30"/>
  <c r="W110" i="30" s="1"/>
  <c r="V46" i="30"/>
  <c r="W46" i="30" s="1"/>
  <c r="V93" i="30"/>
  <c r="W93" i="30" s="1"/>
  <c r="V29" i="30"/>
  <c r="W29" i="30" s="1"/>
  <c r="V68" i="30"/>
  <c r="W68" i="30" s="1"/>
  <c r="V107" i="30"/>
  <c r="W107" i="30" s="1"/>
  <c r="V43" i="30"/>
  <c r="W43" i="30" s="1"/>
  <c r="V66" i="30"/>
  <c r="W66" i="30" s="1"/>
  <c r="V233" i="30"/>
  <c r="W233" i="30" s="1"/>
  <c r="V232" i="30"/>
  <c r="W232" i="30" s="1"/>
  <c r="V255" i="30"/>
  <c r="W255" i="30" s="1"/>
  <c r="V166" i="30"/>
  <c r="W166" i="30" s="1"/>
  <c r="V214" i="30"/>
  <c r="W214" i="30" s="1"/>
  <c r="V253" i="30"/>
  <c r="W253" i="30" s="1"/>
  <c r="V187" i="30"/>
  <c r="W187" i="30" s="1"/>
  <c r="V228" i="30"/>
  <c r="W228" i="30" s="1"/>
  <c r="V243" i="30"/>
  <c r="W243" i="30" s="1"/>
  <c r="V242" i="30"/>
  <c r="W242" i="30" s="1"/>
  <c r="V177" i="30"/>
  <c r="W177" i="30" s="1"/>
  <c r="V152" i="30"/>
  <c r="W152" i="30" s="1"/>
  <c r="V135" i="30"/>
  <c r="W135" i="30" s="1"/>
  <c r="V89" i="30"/>
  <c r="W89" i="30" s="1"/>
  <c r="V113" i="30"/>
  <c r="W113" i="30" s="1"/>
  <c r="V133" i="30"/>
  <c r="W133" i="30" s="1"/>
  <c r="V172" i="30"/>
  <c r="W172" i="30" s="1"/>
  <c r="V171" i="30"/>
  <c r="W171" i="30" s="1"/>
  <c r="V41" i="30"/>
  <c r="W41" i="30" s="1"/>
  <c r="V146" i="30"/>
  <c r="W146" i="30" s="1"/>
  <c r="V80" i="30"/>
  <c r="W80" i="30" s="1"/>
  <c r="V16" i="30"/>
  <c r="W16" i="30" s="1"/>
  <c r="V47" i="30"/>
  <c r="W47" i="30" s="1"/>
  <c r="V102" i="30"/>
  <c r="W102" i="30" s="1"/>
  <c r="V38" i="30"/>
  <c r="W38" i="30" s="1"/>
  <c r="V85" i="30"/>
  <c r="W85" i="30" s="1"/>
  <c r="V21" i="30"/>
  <c r="W21" i="30" s="1"/>
  <c r="V60" i="30"/>
  <c r="W60" i="30" s="1"/>
  <c r="V99" i="30"/>
  <c r="W99" i="30" s="1"/>
  <c r="V35" i="30"/>
  <c r="W35" i="30" s="1"/>
  <c r="V58" i="30"/>
  <c r="W58" i="30" s="1"/>
  <c r="V225" i="30"/>
  <c r="W225" i="30" s="1"/>
  <c r="V224" i="30"/>
  <c r="W224" i="30" s="1"/>
  <c r="V247" i="30"/>
  <c r="W247" i="30" s="1"/>
  <c r="V17" i="30"/>
  <c r="W17" i="30" s="1"/>
  <c r="V206" i="30"/>
  <c r="W206" i="30" s="1"/>
  <c r="V245" i="30"/>
  <c r="W245" i="30" s="1"/>
  <c r="V179" i="30"/>
  <c r="W179" i="30" s="1"/>
  <c r="V220" i="30"/>
  <c r="W220" i="30" s="1"/>
  <c r="V235" i="30"/>
  <c r="W235" i="30" s="1"/>
  <c r="V234" i="30"/>
  <c r="W234" i="30" s="1"/>
  <c r="V153" i="30"/>
  <c r="W153" i="30" s="1"/>
  <c r="V144" i="30"/>
  <c r="W144" i="30" s="1"/>
  <c r="V127" i="30"/>
  <c r="W127" i="30" s="1"/>
  <c r="V57" i="30"/>
  <c r="W57" i="30" s="1"/>
  <c r="V189" i="30"/>
  <c r="W189" i="30" s="1"/>
  <c r="V97" i="30"/>
  <c r="W97" i="30" s="1"/>
  <c r="V164" i="30"/>
  <c r="W164" i="30" s="1"/>
  <c r="V163" i="30"/>
  <c r="W163" i="30" s="1"/>
  <c r="V202" i="30"/>
  <c r="W202" i="30" s="1"/>
  <c r="V138" i="30"/>
  <c r="W138" i="30" s="1"/>
  <c r="V72" i="30"/>
  <c r="W72" i="30" s="1"/>
  <c r="V103" i="30"/>
  <c r="W103" i="30" s="1"/>
  <c r="V39" i="30"/>
  <c r="W39" i="30" s="1"/>
  <c r="V94" i="30"/>
  <c r="W94" i="30" s="1"/>
  <c r="V30" i="30"/>
  <c r="W30" i="30" s="1"/>
  <c r="V77" i="30"/>
  <c r="W77" i="30" s="1"/>
  <c r="V116" i="30"/>
  <c r="W116" i="30" s="1"/>
  <c r="V52" i="30"/>
  <c r="W52" i="30" s="1"/>
  <c r="V91" i="30"/>
  <c r="W91" i="30" s="1"/>
  <c r="V27" i="30"/>
  <c r="W27" i="30" s="1"/>
  <c r="V50" i="30"/>
  <c r="W50" i="30" s="1"/>
  <c r="V217" i="30"/>
  <c r="W217" i="30" s="1"/>
  <c r="V216" i="30"/>
  <c r="W216" i="30" s="1"/>
  <c r="V239" i="30"/>
  <c r="W239" i="30" s="1"/>
  <c r="V195" i="30"/>
  <c r="W195" i="30" s="1"/>
  <c r="V237" i="30"/>
  <c r="W237" i="30" s="1"/>
  <c r="V169" i="30"/>
  <c r="W169" i="30" s="1"/>
  <c r="V212" i="30"/>
  <c r="W212" i="30" s="1"/>
  <c r="V227" i="30"/>
  <c r="W227" i="30" s="1"/>
  <c r="V226" i="30"/>
  <c r="W226" i="30" s="1"/>
  <c r="V200" i="30"/>
  <c r="W200" i="30" s="1"/>
  <c r="V136" i="30"/>
  <c r="W136" i="30" s="1"/>
  <c r="V125" i="30"/>
  <c r="W125" i="30" s="1"/>
  <c r="V25" i="30"/>
  <c r="W25" i="30" s="1"/>
  <c r="V181" i="30"/>
  <c r="W181" i="30" s="1"/>
  <c r="V65" i="30"/>
  <c r="W65" i="30" s="1"/>
  <c r="V156" i="30"/>
  <c r="W156" i="30" s="1"/>
  <c r="V155" i="30"/>
  <c r="W155" i="30" s="1"/>
  <c r="V194" i="30"/>
  <c r="W194" i="30" s="1"/>
  <c r="V130" i="30"/>
  <c r="W130" i="30" s="1"/>
  <c r="V64" i="30"/>
  <c r="W64" i="30" s="1"/>
  <c r="V95" i="30"/>
  <c r="W95" i="30" s="1"/>
  <c r="V31" i="30"/>
  <c r="W31" i="30" s="1"/>
  <c r="V86" i="30"/>
  <c r="W86" i="30" s="1"/>
  <c r="V22" i="30"/>
  <c r="W22" i="30" s="1"/>
  <c r="V69" i="30"/>
  <c r="W69" i="30" s="1"/>
  <c r="V108" i="30"/>
  <c r="W108" i="30" s="1"/>
  <c r="V44" i="30"/>
  <c r="W44" i="30" s="1"/>
  <c r="V83" i="30"/>
  <c r="W83" i="30" s="1"/>
  <c r="V19" i="30"/>
  <c r="W19" i="30" s="1"/>
  <c r="V42" i="30"/>
  <c r="W42" i="30" s="1"/>
  <c r="V209" i="30"/>
  <c r="W209" i="30" s="1"/>
  <c r="V208" i="30"/>
  <c r="W208" i="30" s="1"/>
  <c r="W231" i="30"/>
  <c r="V254" i="30"/>
  <c r="W254" i="30" s="1"/>
  <c r="V191" i="30"/>
  <c r="W191" i="30" s="1"/>
  <c r="V229" i="30"/>
  <c r="W229" i="30" s="1"/>
  <c r="V49" i="30"/>
  <c r="W49" i="30" s="1"/>
  <c r="V198" i="30"/>
  <c r="W198" i="30" s="1"/>
  <c r="V219" i="30"/>
  <c r="W219" i="30" s="1"/>
  <c r="V218" i="30"/>
  <c r="W218" i="30" s="1"/>
  <c r="V192" i="30"/>
  <c r="W192" i="30" s="1"/>
  <c r="V128" i="30"/>
  <c r="W128" i="30" s="1"/>
  <c r="V124" i="30"/>
  <c r="W124" i="30" s="1"/>
  <c r="V158" i="30"/>
  <c r="W158" i="30" s="1"/>
  <c r="V173" i="30"/>
  <c r="W173" i="30" s="1"/>
  <c r="V33" i="30"/>
  <c r="W33" i="30" s="1"/>
  <c r="V148" i="30"/>
  <c r="W148" i="30" s="1"/>
  <c r="V147" i="30"/>
  <c r="W147" i="30" s="1"/>
  <c r="V186" i="30"/>
  <c r="W186" i="30" s="1"/>
  <c r="V120" i="30"/>
  <c r="W120" i="30" s="1"/>
  <c r="V56" i="30"/>
  <c r="W56" i="30" s="1"/>
  <c r="V87" i="30"/>
  <c r="W87" i="30" s="1"/>
  <c r="V23" i="30"/>
  <c r="W23" i="30" s="1"/>
  <c r="V78" i="30"/>
  <c r="W78" i="30" s="1"/>
  <c r="V14" i="30"/>
  <c r="W14" i="30" s="1"/>
  <c r="V61" i="30"/>
  <c r="W61" i="30" s="1"/>
  <c r="V100" i="30"/>
  <c r="W100" i="30" s="1"/>
  <c r="V36" i="30"/>
  <c r="W36" i="30" s="1"/>
  <c r="V75" i="30"/>
  <c r="W75" i="30" s="1"/>
  <c r="V98" i="30"/>
  <c r="W98" i="30" s="1"/>
  <c r="V34" i="30"/>
  <c r="W34" i="30" s="1"/>
  <c r="V161" i="30"/>
  <c r="W161" i="30" s="1"/>
  <c r="V190" i="30"/>
  <c r="W190" i="30" s="1"/>
  <c r="V223" i="30"/>
  <c r="W223" i="30" s="1"/>
  <c r="V246" i="30"/>
  <c r="W246" i="30" s="1"/>
  <c r="V183" i="30"/>
  <c r="W183" i="30" s="1"/>
  <c r="V221" i="30"/>
  <c r="W221" i="30" s="1"/>
  <c r="V197" i="30"/>
  <c r="W197" i="30" s="1"/>
  <c r="V211" i="30"/>
  <c r="W211" i="30" s="1"/>
  <c r="V210" i="30"/>
  <c r="W210" i="30" s="1"/>
  <c r="V184" i="30"/>
  <c r="W184" i="30" s="1"/>
  <c r="V167" i="30"/>
  <c r="W167" i="30" s="1"/>
  <c r="V123" i="30"/>
  <c r="W123" i="30" s="1"/>
  <c r="V150" i="30"/>
  <c r="W150" i="30" s="1"/>
  <c r="V165" i="30"/>
  <c r="W165" i="30" s="1"/>
  <c r="V204" i="30"/>
  <c r="W204" i="30" s="1"/>
  <c r="V140" i="30"/>
  <c r="W140" i="30" s="1"/>
  <c r="V139" i="30"/>
  <c r="W139" i="30" s="1"/>
  <c r="V178" i="30"/>
  <c r="W178" i="30" s="1"/>
  <c r="V112" i="30"/>
  <c r="W112" i="30" s="1"/>
  <c r="V48" i="30"/>
  <c r="W48" i="30" s="1"/>
  <c r="V79" i="30"/>
  <c r="W79" i="30" s="1"/>
  <c r="V15" i="30"/>
  <c r="W15" i="30" s="1"/>
  <c r="V70" i="30"/>
  <c r="W70" i="30" s="1"/>
  <c r="V117" i="30"/>
  <c r="W117" i="30" s="1"/>
  <c r="V53" i="30"/>
  <c r="W53" i="30" s="1"/>
  <c r="V92" i="30"/>
  <c r="W92" i="30" s="1"/>
  <c r="V28" i="30"/>
  <c r="W28" i="30" s="1"/>
  <c r="V67" i="30"/>
  <c r="W67" i="30" s="1"/>
  <c r="V90" i="30"/>
  <c r="W90" i="30" s="1"/>
  <c r="V26" i="30"/>
  <c r="W26" i="30" s="1"/>
  <c r="V241" i="30"/>
  <c r="W241" i="30" s="1"/>
  <c r="V256" i="30"/>
  <c r="W256" i="30" s="1"/>
  <c r="V182" i="30"/>
  <c r="W182" i="30" s="1"/>
  <c r="V215" i="30"/>
  <c r="W215" i="30" s="1"/>
  <c r="V238" i="30"/>
  <c r="W238" i="30" s="1"/>
  <c r="V175" i="30"/>
  <c r="W175" i="30" s="1"/>
  <c r="V213" i="30"/>
  <c r="W213" i="30" s="1"/>
  <c r="V252" i="30"/>
  <c r="W252" i="30" s="1"/>
  <c r="V145" i="30"/>
  <c r="W145" i="30" s="1"/>
  <c r="V81" i="30"/>
  <c r="W81" i="30" s="1"/>
  <c r="V199" i="30"/>
  <c r="W199" i="30" s="1"/>
  <c r="V176" i="30"/>
  <c r="W176" i="30" s="1"/>
  <c r="V159" i="30"/>
  <c r="W159" i="30" s="1"/>
  <c r="V122" i="30"/>
  <c r="W122" i="30" s="1"/>
  <c r="V142" i="30"/>
  <c r="W142" i="30" s="1"/>
  <c r="V157" i="30"/>
  <c r="W157" i="30" s="1"/>
  <c r="V196" i="30"/>
  <c r="W196" i="30" s="1"/>
  <c r="V132" i="30"/>
  <c r="W132" i="30" s="1"/>
  <c r="V131" i="30"/>
  <c r="W131" i="30" s="1"/>
  <c r="V170" i="30"/>
  <c r="W170" i="30" s="1"/>
  <c r="V104" i="30"/>
  <c r="W104" i="30" s="1"/>
  <c r="V40" i="30"/>
  <c r="W40" i="30" s="1"/>
  <c r="V71" i="30"/>
  <c r="W71" i="30" s="1"/>
  <c r="V126" i="30"/>
  <c r="W126" i="30" s="1"/>
  <c r="V62" i="30"/>
  <c r="W62" i="30" s="1"/>
  <c r="V109" i="30"/>
  <c r="W109" i="30" s="1"/>
  <c r="V45" i="30"/>
  <c r="W45" i="30" s="1"/>
  <c r="V84" i="30"/>
  <c r="W84" i="30" s="1"/>
  <c r="V20" i="30"/>
  <c r="W20" i="30" s="1"/>
  <c r="V59" i="30"/>
  <c r="W59" i="30" s="1"/>
  <c r="V82" i="30"/>
  <c r="W82" i="30" s="1"/>
  <c r="V18" i="30"/>
  <c r="W18" i="30" s="1"/>
  <c r="R13" i="30"/>
  <c r="T13" i="30" s="1"/>
  <c r="Y139" i="30" l="1"/>
  <c r="Z139" i="30"/>
  <c r="Y31" i="30"/>
  <c r="Z31" i="30"/>
  <c r="AA31" i="30"/>
  <c r="AB31" i="30"/>
  <c r="Z206" i="30"/>
  <c r="AA206" i="30"/>
  <c r="AB206" i="30"/>
  <c r="Y206" i="30"/>
  <c r="Y29" i="30"/>
  <c r="Z29" i="30"/>
  <c r="AA29" i="30"/>
  <c r="AB29" i="30"/>
  <c r="Z244" i="30"/>
  <c r="AA244" i="30"/>
  <c r="AB244" i="30"/>
  <c r="Y244" i="30"/>
  <c r="Y140" i="30"/>
  <c r="Z140" i="30"/>
  <c r="Y173" i="30"/>
  <c r="Z173" i="30"/>
  <c r="AA173" i="30"/>
  <c r="AB173" i="30"/>
  <c r="Y52" i="30"/>
  <c r="Z52" i="30"/>
  <c r="AA52" i="30"/>
  <c r="AB52" i="30"/>
  <c r="Y21" i="30"/>
  <c r="Z21" i="30"/>
  <c r="AA21" i="30"/>
  <c r="AB21" i="30"/>
  <c r="Y177" i="30"/>
  <c r="Z177" i="30"/>
  <c r="AA177" i="30"/>
  <c r="AB177" i="30"/>
  <c r="Y93" i="30"/>
  <c r="Z93" i="30"/>
  <c r="AA93" i="30"/>
  <c r="Z250" i="30"/>
  <c r="AA250" i="30"/>
  <c r="AB250" i="30"/>
  <c r="Y250" i="30"/>
  <c r="Y118" i="30"/>
  <c r="Z118" i="30"/>
  <c r="Y149" i="30"/>
  <c r="Z149" i="30"/>
  <c r="AB149" i="30"/>
  <c r="AA149" i="30"/>
  <c r="Y62" i="30"/>
  <c r="Z62" i="30"/>
  <c r="Z196" i="30"/>
  <c r="AA196" i="30"/>
  <c r="Y196" i="30"/>
  <c r="Y145" i="30"/>
  <c r="Z145" i="30"/>
  <c r="AA145" i="30"/>
  <c r="AB145" i="30"/>
  <c r="Y241" i="30"/>
  <c r="Z241" i="30"/>
  <c r="AB241" i="30"/>
  <c r="AA241" i="30"/>
  <c r="Y70" i="30"/>
  <c r="Z70" i="30"/>
  <c r="AA70" i="30"/>
  <c r="AB70" i="30"/>
  <c r="Z204" i="30"/>
  <c r="AA204" i="30"/>
  <c r="AB204" i="30"/>
  <c r="Y204" i="30"/>
  <c r="Y197" i="30"/>
  <c r="Z197" i="30"/>
  <c r="AB197" i="30"/>
  <c r="AA197" i="30"/>
  <c r="Y98" i="30"/>
  <c r="Z98" i="30"/>
  <c r="AA98" i="30"/>
  <c r="AB98" i="30"/>
  <c r="Y87" i="30"/>
  <c r="Z87" i="30"/>
  <c r="AB87" i="30"/>
  <c r="AA87" i="30"/>
  <c r="Y158" i="30"/>
  <c r="Z158" i="30"/>
  <c r="AA158" i="30"/>
  <c r="AB158" i="30"/>
  <c r="Y229" i="30"/>
  <c r="Z229" i="30"/>
  <c r="AB229" i="30"/>
  <c r="AA229" i="30"/>
  <c r="Y83" i="30"/>
  <c r="Z83" i="30"/>
  <c r="AA83" i="30"/>
  <c r="Y64" i="30"/>
  <c r="Z64" i="30"/>
  <c r="AA64" i="30"/>
  <c r="AB64" i="30"/>
  <c r="Y125" i="30"/>
  <c r="Z125" i="30"/>
  <c r="AA125" i="30"/>
  <c r="AB125" i="30"/>
  <c r="Y195" i="30"/>
  <c r="Z195" i="30"/>
  <c r="AB195" i="30"/>
  <c r="AA195" i="30"/>
  <c r="Y116" i="30"/>
  <c r="Z116" i="30"/>
  <c r="AA116" i="30"/>
  <c r="Z202" i="30"/>
  <c r="AA202" i="30"/>
  <c r="AB202" i="30"/>
  <c r="Y202" i="30"/>
  <c r="Y153" i="30"/>
  <c r="Z153" i="30"/>
  <c r="Y247" i="30"/>
  <c r="Z247" i="30"/>
  <c r="AB247" i="30"/>
  <c r="AA247" i="30"/>
  <c r="Y85" i="30"/>
  <c r="Z85" i="30"/>
  <c r="AB85" i="30"/>
  <c r="AA85" i="30"/>
  <c r="Y171" i="30"/>
  <c r="Z171" i="30"/>
  <c r="AA171" i="30"/>
  <c r="AB171" i="30"/>
  <c r="Z242" i="30"/>
  <c r="AA242" i="30"/>
  <c r="AB242" i="30"/>
  <c r="Y242" i="30"/>
  <c r="Z232" i="30"/>
  <c r="AA232" i="30"/>
  <c r="AB232" i="30"/>
  <c r="Y232" i="30"/>
  <c r="Y46" i="30"/>
  <c r="Z46" i="30"/>
  <c r="AA46" i="30"/>
  <c r="AB46" i="30"/>
  <c r="AA180" i="30"/>
  <c r="AB180" i="30"/>
  <c r="Y180" i="30"/>
  <c r="Z180" i="30"/>
  <c r="Y251" i="30"/>
  <c r="Z251" i="30"/>
  <c r="AB251" i="30"/>
  <c r="AA251" i="30"/>
  <c r="Y74" i="30"/>
  <c r="Z74" i="30"/>
  <c r="AA74" i="30"/>
  <c r="AB74" i="30"/>
  <c r="Y63" i="30"/>
  <c r="Z63" i="30"/>
  <c r="AA63" i="30"/>
  <c r="AB63" i="30"/>
  <c r="Y134" i="30"/>
  <c r="Z134" i="30"/>
  <c r="AA134" i="30"/>
  <c r="AB134" i="30"/>
  <c r="Y137" i="30"/>
  <c r="Z137" i="30"/>
  <c r="Y45" i="30"/>
  <c r="Z45" i="30"/>
  <c r="AB182" i="30"/>
  <c r="Z182" i="30"/>
  <c r="AA182" i="30"/>
  <c r="Y182" i="30"/>
  <c r="Y78" i="30"/>
  <c r="Z78" i="30"/>
  <c r="AA78" i="30"/>
  <c r="AB78" i="30"/>
  <c r="Y33" i="30"/>
  <c r="Z33" i="30"/>
  <c r="AA33" i="30"/>
  <c r="AB33" i="30"/>
  <c r="Y169" i="30"/>
  <c r="Z169" i="30"/>
  <c r="AA169" i="30"/>
  <c r="AB169" i="30"/>
  <c r="Y60" i="30"/>
  <c r="Z60" i="30"/>
  <c r="AA60" i="30"/>
  <c r="AB60" i="30"/>
  <c r="Y73" i="30"/>
  <c r="Z73" i="30"/>
  <c r="Z240" i="30"/>
  <c r="AA240" i="30"/>
  <c r="AB240" i="30"/>
  <c r="Y240" i="30"/>
  <c r="Y109" i="30"/>
  <c r="Z109" i="30"/>
  <c r="AA109" i="30"/>
  <c r="AB109" i="30"/>
  <c r="Y117" i="30"/>
  <c r="Z117" i="30"/>
  <c r="AA117" i="30"/>
  <c r="Y49" i="30"/>
  <c r="Z49" i="30"/>
  <c r="AA49" i="30"/>
  <c r="AB49" i="30"/>
  <c r="Y237" i="30"/>
  <c r="Z237" i="30"/>
  <c r="AB237" i="30"/>
  <c r="AA237" i="30"/>
  <c r="Y17" i="30"/>
  <c r="Z17" i="30"/>
  <c r="AA17" i="30"/>
  <c r="AB17" i="30"/>
  <c r="Y41" i="30"/>
  <c r="Z41" i="30"/>
  <c r="AA41" i="30"/>
  <c r="AB41" i="30"/>
  <c r="Y255" i="30"/>
  <c r="Z255" i="30"/>
  <c r="AB255" i="30"/>
  <c r="AA255" i="30"/>
  <c r="Y106" i="30"/>
  <c r="Z106" i="30"/>
  <c r="AA106" i="30"/>
  <c r="AB106" i="30"/>
  <c r="Y257" i="30"/>
  <c r="Z257" i="30"/>
  <c r="AB257" i="30"/>
  <c r="AA257" i="30"/>
  <c r="Y205" i="30"/>
  <c r="Z205" i="30"/>
  <c r="AB205" i="30"/>
  <c r="AA205" i="30"/>
  <c r="Y18" i="30"/>
  <c r="Z18" i="30"/>
  <c r="AA18" i="30"/>
  <c r="AB18" i="30"/>
  <c r="Y126" i="30"/>
  <c r="Z126" i="30"/>
  <c r="Y157" i="30"/>
  <c r="Z157" i="30"/>
  <c r="AB157" i="30"/>
  <c r="AA157" i="30"/>
  <c r="Z252" i="30"/>
  <c r="AA252" i="30"/>
  <c r="AB252" i="30"/>
  <c r="Y252" i="30"/>
  <c r="Y26" i="30"/>
  <c r="Z26" i="30"/>
  <c r="AA26" i="30"/>
  <c r="AB26" i="30"/>
  <c r="Y15" i="30"/>
  <c r="Z15" i="30"/>
  <c r="Y165" i="30"/>
  <c r="Z165" i="30"/>
  <c r="AB165" i="30"/>
  <c r="AA165" i="30"/>
  <c r="Y221" i="30"/>
  <c r="Z221" i="30"/>
  <c r="AB221" i="30"/>
  <c r="AA221" i="30"/>
  <c r="Y75" i="30"/>
  <c r="Z75" i="30"/>
  <c r="AA75" i="30"/>
  <c r="AB75" i="30"/>
  <c r="Y56" i="30"/>
  <c r="Z56" i="30"/>
  <c r="AA56" i="30"/>
  <c r="AB56" i="30"/>
  <c r="Y124" i="30"/>
  <c r="Z124" i="30"/>
  <c r="AA124" i="30"/>
  <c r="AB124" i="30"/>
  <c r="AB191" i="30"/>
  <c r="Z191" i="30"/>
  <c r="AA191" i="30"/>
  <c r="Y191" i="30"/>
  <c r="Y44" i="30"/>
  <c r="Z44" i="30"/>
  <c r="AA44" i="30"/>
  <c r="AB44" i="30"/>
  <c r="Y130" i="30"/>
  <c r="Z130" i="30"/>
  <c r="AA130" i="30"/>
  <c r="Y136" i="30"/>
  <c r="Z136" i="30"/>
  <c r="AA136" i="30"/>
  <c r="AB136" i="30"/>
  <c r="Y239" i="30"/>
  <c r="Z239" i="30"/>
  <c r="AB239" i="30"/>
  <c r="AA239" i="30"/>
  <c r="Y77" i="30"/>
  <c r="Z77" i="30"/>
  <c r="AA77" i="30"/>
  <c r="AB77" i="30"/>
  <c r="Y163" i="30"/>
  <c r="Z163" i="30"/>
  <c r="AA163" i="30"/>
  <c r="AB163" i="30"/>
  <c r="Z234" i="30"/>
  <c r="AA234" i="30"/>
  <c r="AB234" i="30"/>
  <c r="Y234" i="30"/>
  <c r="Z224" i="30"/>
  <c r="AA224" i="30"/>
  <c r="AB224" i="30"/>
  <c r="Y224" i="30"/>
  <c r="Y38" i="30"/>
  <c r="Z38" i="30"/>
  <c r="AA38" i="30"/>
  <c r="AB38" i="30"/>
  <c r="Y172" i="30"/>
  <c r="Z172" i="30"/>
  <c r="AA172" i="30"/>
  <c r="AB172" i="30"/>
  <c r="Y243" i="30"/>
  <c r="Z243" i="30"/>
  <c r="AB243" i="30"/>
  <c r="AA243" i="30"/>
  <c r="Y233" i="30"/>
  <c r="Z233" i="30"/>
  <c r="AB233" i="30"/>
  <c r="AA233" i="30"/>
  <c r="Y110" i="30"/>
  <c r="Z110" i="30"/>
  <c r="AA110" i="30"/>
  <c r="AB110" i="30"/>
  <c r="Y141" i="30"/>
  <c r="Z141" i="30"/>
  <c r="AA141" i="30"/>
  <c r="AB141" i="30"/>
  <c r="Z236" i="30"/>
  <c r="AA236" i="30"/>
  <c r="AB236" i="30"/>
  <c r="Y236" i="30"/>
  <c r="Y51" i="30"/>
  <c r="Z51" i="30"/>
  <c r="AA51" i="30"/>
  <c r="AB51" i="30"/>
  <c r="Y32" i="30"/>
  <c r="Z32" i="30"/>
  <c r="AA32" i="30"/>
  <c r="AB32" i="30"/>
  <c r="Y119" i="30"/>
  <c r="Z119" i="30"/>
  <c r="AB119" i="30"/>
  <c r="AA119" i="30"/>
  <c r="Z230" i="30"/>
  <c r="AA230" i="30"/>
  <c r="AB230" i="30"/>
  <c r="Y230" i="30"/>
  <c r="Y131" i="30"/>
  <c r="Z131" i="30"/>
  <c r="AA131" i="30"/>
  <c r="AB131" i="30"/>
  <c r="Z210" i="30"/>
  <c r="AA210" i="30"/>
  <c r="AB210" i="30"/>
  <c r="Y210" i="30"/>
  <c r="Y181" i="30"/>
  <c r="Z181" i="30"/>
  <c r="AB181" i="30"/>
  <c r="AA181" i="30"/>
  <c r="Y127" i="30"/>
  <c r="Z127" i="30"/>
  <c r="AA127" i="30"/>
  <c r="AB127" i="30"/>
  <c r="Y166" i="30"/>
  <c r="Z166" i="30"/>
  <c r="Y185" i="30"/>
  <c r="Z185" i="30"/>
  <c r="AA185" i="30"/>
  <c r="AB185" i="30"/>
  <c r="Y132" i="30"/>
  <c r="Z132" i="30"/>
  <c r="Y34" i="30"/>
  <c r="Z34" i="30"/>
  <c r="AA34" i="30"/>
  <c r="AB34" i="30"/>
  <c r="Y25" i="30"/>
  <c r="Z25" i="30"/>
  <c r="AA25" i="30"/>
  <c r="AB25" i="30"/>
  <c r="Y82" i="30"/>
  <c r="Z82" i="30"/>
  <c r="AA82" i="30"/>
  <c r="Y213" i="30"/>
  <c r="Z213" i="30"/>
  <c r="AB213" i="30"/>
  <c r="AA213" i="30"/>
  <c r="Y36" i="30"/>
  <c r="Z36" i="30"/>
  <c r="AA36" i="30"/>
  <c r="AB36" i="30"/>
  <c r="Z254" i="30"/>
  <c r="AA254" i="30"/>
  <c r="AB254" i="30"/>
  <c r="Y254" i="30"/>
  <c r="Y30" i="30"/>
  <c r="Z30" i="30"/>
  <c r="AA30" i="30"/>
  <c r="AB30" i="30"/>
  <c r="Y225" i="30"/>
  <c r="Z225" i="30"/>
  <c r="AB225" i="30"/>
  <c r="AA225" i="30"/>
  <c r="Z228" i="30"/>
  <c r="AA228" i="30"/>
  <c r="AB228" i="30"/>
  <c r="Y228" i="30"/>
  <c r="Y121" i="30"/>
  <c r="Z121" i="30"/>
  <c r="AA121" i="30"/>
  <c r="Y96" i="30"/>
  <c r="Z96" i="30"/>
  <c r="Y67" i="30"/>
  <c r="Z67" i="30"/>
  <c r="AA67" i="30"/>
  <c r="AB67" i="30"/>
  <c r="AB192" i="30"/>
  <c r="Y192" i="30"/>
  <c r="Z192" i="30"/>
  <c r="AA192" i="30"/>
  <c r="Y155" i="30"/>
  <c r="Z155" i="30"/>
  <c r="AA155" i="30"/>
  <c r="AB155" i="30"/>
  <c r="Z226" i="30"/>
  <c r="AA226" i="30"/>
  <c r="AB226" i="30"/>
  <c r="Y226" i="30"/>
  <c r="Y217" i="30"/>
  <c r="Z217" i="30"/>
  <c r="AB217" i="30"/>
  <c r="AA217" i="30"/>
  <c r="Y94" i="30"/>
  <c r="Z94" i="30"/>
  <c r="AA94" i="30"/>
  <c r="AB94" i="30"/>
  <c r="Y97" i="30"/>
  <c r="Z97" i="30"/>
  <c r="AA97" i="30"/>
  <c r="AB97" i="30"/>
  <c r="Z220" i="30"/>
  <c r="AA220" i="30"/>
  <c r="AB220" i="30"/>
  <c r="Y220" i="30"/>
  <c r="Y58" i="30"/>
  <c r="Z58" i="30"/>
  <c r="Y47" i="30"/>
  <c r="Z47" i="30"/>
  <c r="AA47" i="30"/>
  <c r="AB47" i="30"/>
  <c r="Y113" i="30"/>
  <c r="Z113" i="30"/>
  <c r="AA113" i="30"/>
  <c r="AB113" i="30"/>
  <c r="Z187" i="30"/>
  <c r="AA187" i="30"/>
  <c r="AB187" i="30"/>
  <c r="Y187" i="30"/>
  <c r="Y43" i="30"/>
  <c r="Z43" i="30"/>
  <c r="AA43" i="30"/>
  <c r="AB43" i="30"/>
  <c r="Y24" i="30"/>
  <c r="Z24" i="30"/>
  <c r="Y105" i="30"/>
  <c r="Z105" i="30"/>
  <c r="AA105" i="30"/>
  <c r="AB105" i="30"/>
  <c r="Z222" i="30"/>
  <c r="AA222" i="30"/>
  <c r="AB222" i="30"/>
  <c r="Y222" i="30"/>
  <c r="Y76" i="30"/>
  <c r="Z76" i="30"/>
  <c r="AA76" i="30"/>
  <c r="AB76" i="30"/>
  <c r="Y162" i="30"/>
  <c r="Z162" i="30"/>
  <c r="AA162" i="30"/>
  <c r="AB162" i="30"/>
  <c r="Y168" i="30"/>
  <c r="Z168" i="30"/>
  <c r="AA168" i="30"/>
  <c r="Y174" i="30"/>
  <c r="Z174" i="30"/>
  <c r="AA174" i="30"/>
  <c r="AB174" i="30"/>
  <c r="Y199" i="30"/>
  <c r="Z199" i="30"/>
  <c r="AB199" i="30"/>
  <c r="AA199" i="30"/>
  <c r="Y161" i="30"/>
  <c r="Z161" i="30"/>
  <c r="Z198" i="30"/>
  <c r="AA198" i="30"/>
  <c r="AB198" i="30"/>
  <c r="Y198" i="30"/>
  <c r="Y91" i="30"/>
  <c r="Z91" i="30"/>
  <c r="AA91" i="30"/>
  <c r="AB91" i="30"/>
  <c r="Y146" i="30"/>
  <c r="Z146" i="30"/>
  <c r="Y54" i="30"/>
  <c r="Z54" i="30"/>
  <c r="AA54" i="30"/>
  <c r="AB54" i="30"/>
  <c r="Z256" i="30"/>
  <c r="AA256" i="30"/>
  <c r="AB256" i="30"/>
  <c r="Y256" i="30"/>
  <c r="Y23" i="30"/>
  <c r="Z23" i="30"/>
  <c r="AA23" i="30"/>
  <c r="AB23" i="30"/>
  <c r="Y95" i="30"/>
  <c r="Z95" i="30"/>
  <c r="AA95" i="30"/>
  <c r="AB95" i="30"/>
  <c r="Y138" i="30"/>
  <c r="Z138" i="30"/>
  <c r="Y142" i="30"/>
  <c r="Z142" i="30"/>
  <c r="AA142" i="30"/>
  <c r="AB142" i="30"/>
  <c r="Y79" i="30"/>
  <c r="Z79" i="30"/>
  <c r="AA79" i="30"/>
  <c r="AB79" i="30"/>
  <c r="Y183" i="30"/>
  <c r="Z183" i="30"/>
  <c r="AA183" i="30"/>
  <c r="AB183" i="30"/>
  <c r="Y128" i="30"/>
  <c r="Z128" i="30"/>
  <c r="AB194" i="30"/>
  <c r="Y194" i="30"/>
  <c r="Z194" i="30"/>
  <c r="AA194" i="30"/>
  <c r="Z216" i="30"/>
  <c r="Y216" i="30"/>
  <c r="Y235" i="30"/>
  <c r="Z235" i="30"/>
  <c r="AB235" i="30"/>
  <c r="AA235" i="30"/>
  <c r="Y133" i="30"/>
  <c r="Z133" i="30"/>
  <c r="AB133" i="30"/>
  <c r="AA133" i="30"/>
  <c r="Y66" i="30"/>
  <c r="Z66" i="30"/>
  <c r="Y203" i="30"/>
  <c r="Z203" i="30"/>
  <c r="AB203" i="30"/>
  <c r="AA203" i="30"/>
  <c r="Y207" i="30"/>
  <c r="Z207" i="30"/>
  <c r="AB207" i="30"/>
  <c r="AA207" i="30"/>
  <c r="Y40" i="30"/>
  <c r="Z40" i="30"/>
  <c r="AA40" i="30"/>
  <c r="AB40" i="30"/>
  <c r="Y175" i="30"/>
  <c r="Z175" i="30"/>
  <c r="AA175" i="30"/>
  <c r="AB175" i="30"/>
  <c r="Z246" i="30"/>
  <c r="Y246" i="30"/>
  <c r="AB186" i="30"/>
  <c r="Y186" i="30"/>
  <c r="AA186" i="30"/>
  <c r="Z186" i="30"/>
  <c r="Y231" i="30"/>
  <c r="Z231" i="30"/>
  <c r="AB231" i="30"/>
  <c r="AA231" i="30"/>
  <c r="Y20" i="30"/>
  <c r="Z20" i="30"/>
  <c r="AA20" i="30"/>
  <c r="AB20" i="30"/>
  <c r="Y104" i="30"/>
  <c r="Z104" i="30"/>
  <c r="AA104" i="30"/>
  <c r="AB104" i="30"/>
  <c r="Y159" i="30"/>
  <c r="Z159" i="30"/>
  <c r="AB159" i="30"/>
  <c r="AA159" i="30"/>
  <c r="Z238" i="30"/>
  <c r="AA238" i="30"/>
  <c r="AB238" i="30"/>
  <c r="Y238" i="30"/>
  <c r="Y28" i="30"/>
  <c r="Z28" i="30"/>
  <c r="Y112" i="30"/>
  <c r="Z112" i="30"/>
  <c r="AA112" i="30"/>
  <c r="AB112" i="30"/>
  <c r="Y167" i="30"/>
  <c r="Z167" i="30"/>
  <c r="Y223" i="30"/>
  <c r="Z223" i="30"/>
  <c r="AB223" i="30"/>
  <c r="AA223" i="30"/>
  <c r="Y61" i="30"/>
  <c r="Z61" i="30"/>
  <c r="AA61" i="30"/>
  <c r="Y147" i="30"/>
  <c r="Z147" i="30"/>
  <c r="AB147" i="30"/>
  <c r="AA147" i="30"/>
  <c r="Z218" i="30"/>
  <c r="AA218" i="30"/>
  <c r="AB218" i="30"/>
  <c r="Y218" i="30"/>
  <c r="Z208" i="30"/>
  <c r="AA208" i="30"/>
  <c r="AB208" i="30"/>
  <c r="Y208" i="30"/>
  <c r="Y22" i="30"/>
  <c r="Z22" i="30"/>
  <c r="AA22" i="30"/>
  <c r="AB22" i="30"/>
  <c r="Y156" i="30"/>
  <c r="Z156" i="30"/>
  <c r="AA156" i="30"/>
  <c r="Y227" i="30"/>
  <c r="Z227" i="30"/>
  <c r="AB227" i="30"/>
  <c r="AA227" i="30"/>
  <c r="Y50" i="30"/>
  <c r="Z50" i="30"/>
  <c r="AA50" i="30"/>
  <c r="AB50" i="30"/>
  <c r="Y39" i="30"/>
  <c r="Z39" i="30"/>
  <c r="AA39" i="30"/>
  <c r="AB39" i="30"/>
  <c r="AA189" i="30"/>
  <c r="AB189" i="30"/>
  <c r="Y189" i="30"/>
  <c r="Z189" i="30"/>
  <c r="Y179" i="30"/>
  <c r="Z179" i="30"/>
  <c r="AA179" i="30"/>
  <c r="AB179" i="30"/>
  <c r="Y35" i="30"/>
  <c r="Z35" i="30"/>
  <c r="AA35" i="30"/>
  <c r="AB35" i="30"/>
  <c r="Y16" i="30"/>
  <c r="Z16" i="30"/>
  <c r="AA16" i="30"/>
  <c r="AB16" i="30"/>
  <c r="Y89" i="30"/>
  <c r="Z89" i="30"/>
  <c r="AA89" i="30"/>
  <c r="AB89" i="30"/>
  <c r="Y253" i="30"/>
  <c r="Z253" i="30"/>
  <c r="AB253" i="30"/>
  <c r="AA253" i="30"/>
  <c r="Y107" i="30"/>
  <c r="Z107" i="30"/>
  <c r="AA107" i="30"/>
  <c r="AB107" i="30"/>
  <c r="Y88" i="30"/>
  <c r="Z88" i="30"/>
  <c r="AA88" i="30"/>
  <c r="Y143" i="30"/>
  <c r="Z143" i="30"/>
  <c r="AB143" i="30"/>
  <c r="AA143" i="30"/>
  <c r="Y201" i="30"/>
  <c r="Z201" i="30"/>
  <c r="AB201" i="30"/>
  <c r="AA201" i="30"/>
  <c r="Y37" i="30"/>
  <c r="Z37" i="30"/>
  <c r="AA37" i="30"/>
  <c r="AB37" i="30"/>
  <c r="Y111" i="30"/>
  <c r="Z111" i="30"/>
  <c r="AA111" i="30"/>
  <c r="AB111" i="30"/>
  <c r="Y193" i="30"/>
  <c r="AA193" i="30"/>
  <c r="AB193" i="30"/>
  <c r="Z193" i="30"/>
  <c r="Z248" i="30"/>
  <c r="AA248" i="30"/>
  <c r="AB248" i="30"/>
  <c r="Y248" i="30"/>
  <c r="Y53" i="30"/>
  <c r="Z53" i="30"/>
  <c r="AA53" i="30"/>
  <c r="AB53" i="30"/>
  <c r="Y42" i="30"/>
  <c r="Z42" i="30"/>
  <c r="AA42" i="30"/>
  <c r="AB42" i="30"/>
  <c r="Y72" i="30"/>
  <c r="Z72" i="30"/>
  <c r="AA72" i="30"/>
  <c r="AB72" i="30"/>
  <c r="Y152" i="30"/>
  <c r="Z152" i="30"/>
  <c r="AB188" i="30"/>
  <c r="Y188" i="30"/>
  <c r="Z188" i="30"/>
  <c r="AA188" i="30"/>
  <c r="Y81" i="30"/>
  <c r="Z81" i="30"/>
  <c r="AA81" i="30"/>
  <c r="AB81" i="30"/>
  <c r="Y211" i="30"/>
  <c r="Z211" i="30"/>
  <c r="AB211" i="30"/>
  <c r="AA211" i="30"/>
  <c r="Y19" i="30"/>
  <c r="Z19" i="30"/>
  <c r="AA19" i="30"/>
  <c r="AB19" i="30"/>
  <c r="Y144" i="30"/>
  <c r="Z144" i="30"/>
  <c r="Y71" i="30"/>
  <c r="Z71" i="30"/>
  <c r="AA71" i="30"/>
  <c r="AB71" i="30"/>
  <c r="Y90" i="30"/>
  <c r="Z90" i="30"/>
  <c r="Y150" i="30"/>
  <c r="Z150" i="30"/>
  <c r="Y120" i="30"/>
  <c r="Z120" i="30"/>
  <c r="AA120" i="30"/>
  <c r="Y108" i="30"/>
  <c r="Z108" i="30"/>
  <c r="AA108" i="30"/>
  <c r="AB108" i="30"/>
  <c r="Z200" i="30"/>
  <c r="AA200" i="30"/>
  <c r="AB200" i="30"/>
  <c r="Y200" i="30"/>
  <c r="Y164" i="30"/>
  <c r="Z164" i="30"/>
  <c r="Y102" i="30"/>
  <c r="Z102" i="30"/>
  <c r="AA102" i="30"/>
  <c r="AB102" i="30"/>
  <c r="Y55" i="30"/>
  <c r="Z55" i="30"/>
  <c r="Y115" i="30"/>
  <c r="Z115" i="30"/>
  <c r="AA115" i="30"/>
  <c r="Y151" i="30"/>
  <c r="Z151" i="30"/>
  <c r="Y59" i="30"/>
  <c r="Z59" i="30"/>
  <c r="Y122" i="30"/>
  <c r="Z122" i="30"/>
  <c r="Y48" i="30"/>
  <c r="Z48" i="30"/>
  <c r="Y123" i="30"/>
  <c r="Z123" i="30"/>
  <c r="AA123" i="30"/>
  <c r="Y100" i="30"/>
  <c r="Z100" i="30"/>
  <c r="AA100" i="30"/>
  <c r="AB100" i="30"/>
  <c r="Y69" i="30"/>
  <c r="Z69" i="30"/>
  <c r="AA69" i="30"/>
  <c r="AB69" i="30"/>
  <c r="Y84" i="30"/>
  <c r="Z84" i="30"/>
  <c r="AA84" i="30"/>
  <c r="AB84" i="30"/>
  <c r="Y170" i="30"/>
  <c r="Z170" i="30"/>
  <c r="AA170" i="30"/>
  <c r="AB170" i="30"/>
  <c r="Y176" i="30"/>
  <c r="Z176" i="30"/>
  <c r="AA176" i="30"/>
  <c r="AB176" i="30"/>
  <c r="Y215" i="30"/>
  <c r="Z215" i="30"/>
  <c r="AB215" i="30"/>
  <c r="AA215" i="30"/>
  <c r="Y92" i="30"/>
  <c r="Z92" i="30"/>
  <c r="AA92" i="30"/>
  <c r="AB92" i="30"/>
  <c r="Y178" i="30"/>
  <c r="AA178" i="30"/>
  <c r="AB178" i="30"/>
  <c r="Z178" i="30"/>
  <c r="AB184" i="30"/>
  <c r="Z184" i="30"/>
  <c r="AA184" i="30"/>
  <c r="Y184" i="30"/>
  <c r="AB190" i="30"/>
  <c r="Y190" i="30"/>
  <c r="Z190" i="30"/>
  <c r="AA190" i="30"/>
  <c r="Y14" i="30"/>
  <c r="Z14" i="30"/>
  <c r="Y148" i="30"/>
  <c r="Z148" i="30"/>
  <c r="AA148" i="30"/>
  <c r="AB148" i="30"/>
  <c r="Y219" i="30"/>
  <c r="Z219" i="30"/>
  <c r="AB219" i="30"/>
  <c r="AA219" i="30"/>
  <c r="Y209" i="30"/>
  <c r="Z209" i="30"/>
  <c r="AB209" i="30"/>
  <c r="AA209" i="30"/>
  <c r="Y86" i="30"/>
  <c r="Z86" i="30"/>
  <c r="AA86" i="30"/>
  <c r="AB86" i="30"/>
  <c r="Y65" i="30"/>
  <c r="Z65" i="30"/>
  <c r="AA65" i="30"/>
  <c r="AB65" i="30"/>
  <c r="Z212" i="30"/>
  <c r="AA212" i="30"/>
  <c r="AB212" i="30"/>
  <c r="Y212" i="30"/>
  <c r="Y27" i="30"/>
  <c r="Z27" i="30"/>
  <c r="AA27" i="30"/>
  <c r="Y103" i="30"/>
  <c r="Z103" i="30"/>
  <c r="AA103" i="30"/>
  <c r="AB103" i="30"/>
  <c r="Y57" i="30"/>
  <c r="Z57" i="30"/>
  <c r="Y245" i="30"/>
  <c r="Z245" i="30"/>
  <c r="AB245" i="30"/>
  <c r="AA245" i="30"/>
  <c r="Y99" i="30"/>
  <c r="Z99" i="30"/>
  <c r="AA99" i="30"/>
  <c r="AB99" i="30"/>
  <c r="Y80" i="30"/>
  <c r="Z80" i="30"/>
  <c r="AA80" i="30"/>
  <c r="AB80" i="30"/>
  <c r="Y135" i="30"/>
  <c r="Z135" i="30"/>
  <c r="AA135" i="30"/>
  <c r="AB135" i="30"/>
  <c r="Z214" i="30"/>
  <c r="AA214" i="30"/>
  <c r="Y214" i="30"/>
  <c r="Y68" i="30"/>
  <c r="Z68" i="30"/>
  <c r="AA68" i="30"/>
  <c r="AB68" i="30"/>
  <c r="Y154" i="30"/>
  <c r="Z154" i="30"/>
  <c r="AA154" i="30"/>
  <c r="Y160" i="30"/>
  <c r="Z160" i="30"/>
  <c r="AA160" i="30"/>
  <c r="AB160" i="30"/>
  <c r="Y129" i="30"/>
  <c r="Z129" i="30"/>
  <c r="AA129" i="30"/>
  <c r="AB129" i="30"/>
  <c r="Y101" i="30"/>
  <c r="Z101" i="30"/>
  <c r="AA101" i="30"/>
  <c r="AB101" i="30"/>
  <c r="Y114" i="30"/>
  <c r="Z114" i="30"/>
  <c r="AA114" i="30"/>
  <c r="AB114" i="30"/>
  <c r="Z258" i="30"/>
  <c r="AA258" i="30"/>
  <c r="AB258" i="30"/>
  <c r="Y258" i="30"/>
  <c r="Y249" i="30"/>
  <c r="Z249" i="30"/>
  <c r="AB249" i="30"/>
  <c r="AA249" i="30"/>
  <c r="R10" i="30"/>
  <c r="V13" i="30" l="1"/>
  <c r="V11" i="30" s="1"/>
  <c r="V10" i="30" s="1"/>
  <c r="T11" i="30"/>
  <c r="W13" i="30" l="1"/>
  <c r="W11" i="30" l="1"/>
  <c r="Y13" i="30"/>
  <c r="Y11" i="30" s="1"/>
  <c r="Z13" i="30"/>
  <c r="Z11" i="30" s="1"/>
  <c r="AB13" i="30"/>
  <c r="AB11" i="30" s="1"/>
  <c r="AA13" i="30"/>
  <c r="AA11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Caitlin Oliver</author>
  </authors>
  <commentList>
    <comment ref="J2" authorId="0" shapeId="0" xr:uid="{96626C25-6442-417D-825F-07792BE37885}">
      <text>
        <r>
          <rPr>
            <b/>
            <sz val="9"/>
            <color indexed="81"/>
            <rFont val="Tahoma"/>
            <family val="2"/>
          </rPr>
          <t>Authorr:</t>
        </r>
        <r>
          <rPr>
            <sz val="9"/>
            <color indexed="81"/>
            <rFont val="Tahoma"/>
            <family val="2"/>
          </rPr>
          <t xml:space="preserve">
minimum switch not used in MFAM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D89A0666-A1A1-4844-ACAF-97C6587B3C8A}">
      <text>
        <r>
          <rPr>
            <sz val="9"/>
            <color indexed="81"/>
            <rFont val="Tahoma"/>
            <family val="2"/>
          </rPr>
          <t xml:space="preserve">Maximum Cost considered in evaluation of Group Average &amp; Wt. Std. Deviation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<sst xmlns="http://schemas.openxmlformats.org/spreadsheetml/2006/main" count="1652" uniqueCount="365">
  <si>
    <t>2023 Municipal Funding</t>
  </si>
  <si>
    <t>Calculation of 2023 Steward Cash Obligation</t>
  </si>
  <si>
    <t>Steward Municipal Obligation</t>
  </si>
  <si>
    <t>CNA/OCNA InKind Deduction Balance</t>
  </si>
  <si>
    <t>2022 Steward Cash Obligation</t>
  </si>
  <si>
    <t>Accounting for Prior Year Adjustments</t>
  </si>
  <si>
    <t>PC</t>
  </si>
  <si>
    <t>Group</t>
  </si>
  <si>
    <t>Program</t>
  </si>
  <si>
    <t>2021 Marketed Tonnes</t>
  </si>
  <si>
    <t>2021 Reported Gross Cost</t>
  </si>
  <si>
    <t>2021 Reported Revenue</t>
  </si>
  <si>
    <t>2021 Reported Net Cost</t>
  </si>
  <si>
    <t>Reported Net Cost per Tonne</t>
  </si>
  <si>
    <t>Days in Program (2023)</t>
  </si>
  <si>
    <t>Transition Date</t>
  </si>
  <si>
    <t>Pro-rated Net Cost</t>
  </si>
  <si>
    <t>Total Payment</t>
  </si>
  <si>
    <t>PYA Re: 2020 Data Year</t>
  </si>
  <si>
    <t>Additional PYA Re: 2019 Data Year</t>
  </si>
  <si>
    <t>Missing Program Adjustment</t>
  </si>
  <si>
    <t>Final PYA</t>
  </si>
  <si>
    <t>Final Payment</t>
  </si>
  <si>
    <t>Late Penalty?</t>
  </si>
  <si>
    <t>Late Penalty Assessed</t>
  </si>
  <si>
    <t>Final Payment Incl. Late Penalty</t>
  </si>
  <si>
    <t>Jun. 2023
Payment</t>
  </si>
  <si>
    <t>Sept. 2023
Payment</t>
  </si>
  <si>
    <t>Dec. 2023
Payment</t>
  </si>
  <si>
    <t>Mar. 2024
Payment</t>
  </si>
  <si>
    <t>HALTON, REGIONAL MUNICIPALITY OF</t>
  </si>
  <si>
    <t>TORONTO, CITY OF</t>
  </si>
  <si>
    <t>LONDON, CITY OF</t>
  </si>
  <si>
    <t>YORK, REGIONAL MUNICIPALITY OF</t>
  </si>
  <si>
    <t>HAMILTON, CITY OF</t>
  </si>
  <si>
    <t>PEEL, REGIONAL MUNICIPALITY OF</t>
  </si>
  <si>
    <t>DURHAM, REGIONAL MUNICIPALITY OF</t>
  </si>
  <si>
    <t>ESSEX-WINDSOR SOLID WASTE AUTHORITY</t>
  </si>
  <si>
    <t>WATERLOO, REGIONAL MUNICIPALITY OF</t>
  </si>
  <si>
    <t>SIMCOE, COUNTY OF</t>
  </si>
  <si>
    <t>NIAGARA, REGIONAL MUNICIPALITY OF</t>
  </si>
  <si>
    <t>OTTAWA, CITY OF</t>
  </si>
  <si>
    <t>BARRIE, CITY OF</t>
  </si>
  <si>
    <t>GUELPH, CITY OF</t>
  </si>
  <si>
    <t>SAULT STE. MARIE, CITY OF</t>
  </si>
  <si>
    <t>SARNIA, CITY OF</t>
  </si>
  <si>
    <t>THUNDER BAY, CITY OF</t>
  </si>
  <si>
    <t>BRANTFORD, CITY OF</t>
  </si>
  <si>
    <t>PETERBOROUGH, CITY OF</t>
  </si>
  <si>
    <t>NORTHUMBERLAND, COUNTY OF</t>
  </si>
  <si>
    <t>WELLINGTON, COUNTY OF</t>
  </si>
  <si>
    <t>NORFOLK, COUNTY OF</t>
  </si>
  <si>
    <t>QUINTE WASTE SOLUTIONS</t>
  </si>
  <si>
    <t>PETERBOROUGH, COUNTY OF</t>
  </si>
  <si>
    <t>MUSKOKA, DISTRICT MUNICIPALITY OF</t>
  </si>
  <si>
    <t>NORTH BAY, CITY OF</t>
  </si>
  <si>
    <t>GREATER SUDBURY, CITY OF</t>
  </si>
  <si>
    <t>BLUEWATER RECYCLING ASSOCIATION</t>
  </si>
  <si>
    <t>BRUCE AREA SOLID WASTE RECYCLING</t>
  </si>
  <si>
    <t>KINGSTON, CITY OF</t>
  </si>
  <si>
    <t>CHATHAM-KENT, MUNICIPALITY OF</t>
  </si>
  <si>
    <t>KAWARTHA LAKES, CITY OF</t>
  </si>
  <si>
    <t>DUFFERIN, COUNTY OF</t>
  </si>
  <si>
    <t>OXFORD, RESTRUCTURED COUNTY OF</t>
  </si>
  <si>
    <t>STRATFORD, CITY OF</t>
  </si>
  <si>
    <t>OWEN SOUND, CITY OF</t>
  </si>
  <si>
    <t>ORILLIA, CITY OF</t>
  </si>
  <si>
    <t>BROCKVILLE, CITY OF</t>
  </si>
  <si>
    <t>HANOVER, TOWN OF</t>
  </si>
  <si>
    <t>CORNWALL, CITY OF</t>
  </si>
  <si>
    <t>PARRY SOUND, TOWN OF</t>
  </si>
  <si>
    <t>PRESCOTT,TOWN OF</t>
  </si>
  <si>
    <t>ST. THOMAS, CITY OF</t>
  </si>
  <si>
    <t>GANANOQUE, TOWN OF</t>
  </si>
  <si>
    <t>AYLMER, TOWN OF</t>
  </si>
  <si>
    <t>Arnprior, Town of</t>
  </si>
  <si>
    <t>RENFREW, TOWN OF</t>
  </si>
  <si>
    <t>MATTAWA, TOWN OF</t>
  </si>
  <si>
    <t>PETROLIA, TOWN OF</t>
  </si>
  <si>
    <t>CARLETON PLACE, TOWN OF</t>
  </si>
  <si>
    <t>CASSELMAN,  VILLAGE OF</t>
  </si>
  <si>
    <t>DESERONTO, TOWN OF</t>
  </si>
  <si>
    <t>PERTH, TOWN OF</t>
  </si>
  <si>
    <t>SMITHS FALLS, TOWN OF</t>
  </si>
  <si>
    <t>SUNDRIDGE, VILLAGE OF</t>
  </si>
  <si>
    <t>WEST NIPISSING, MUNICIPALITY OF</t>
  </si>
  <si>
    <t>KIRKLAND LAKE, TOWN OF</t>
  </si>
  <si>
    <t>ELLIOT LAKE, CITY OF</t>
  </si>
  <si>
    <t>TIMMINS, CITY OF</t>
  </si>
  <si>
    <t>GAUTHIER, TOWNSHIP OF</t>
  </si>
  <si>
    <t>PRINCE, TOWNSHIP OF</t>
  </si>
  <si>
    <t>SABLES-SPANISH RIVERS, TOWNSHIP OF</t>
  </si>
  <si>
    <t>BALDWIN, TOWNSHIP OF</t>
  </si>
  <si>
    <t>BLIND RIVER, TOWN OF</t>
  </si>
  <si>
    <t>CENTRAL MANITOULIN, TOWNSHIP OF</t>
  </si>
  <si>
    <t>ESPANOLA, TOWN OF</t>
  </si>
  <si>
    <t>NAIRN &amp; HYMAN, TOWNSHIP OF</t>
  </si>
  <si>
    <t>NORTHEASTERN MANITOULIN &amp; ISLANDS, TOWN OF</t>
  </si>
  <si>
    <t>Temiskaming Shores, City of</t>
  </si>
  <si>
    <t>GOULAIS &amp; DISTRICT, LOCAL SERVICES BOARD OF</t>
  </si>
  <si>
    <t>Local Services Board of Aweres</t>
  </si>
  <si>
    <t>Red Rock Indian Band</t>
  </si>
  <si>
    <t>GARDEN RIVER FIRST NATION</t>
  </si>
  <si>
    <t>WAHNAPITAE FIRST NATION</t>
  </si>
  <si>
    <t>ARMSTRONG, TOWNSHIP OF</t>
  </si>
  <si>
    <t>ATIKOKAN, TOWNSHIP OF</t>
  </si>
  <si>
    <t>COLEMAN,  TOWNSHIP OF</t>
  </si>
  <si>
    <t>DRYDEN, CITY OF</t>
  </si>
  <si>
    <t>ENGLEHART, TOWN OF</t>
  </si>
  <si>
    <t>EVANTUREL, TOWNSHIP OF</t>
  </si>
  <si>
    <t>FORT FRANCES, TOWN OF</t>
  </si>
  <si>
    <t>HEAD, CLARA AND MARIA, TOWNSHIPS OF</t>
  </si>
  <si>
    <t>JAMES, TOWNSHIP OF</t>
  </si>
  <si>
    <t>KENORA, CITY OF</t>
  </si>
  <si>
    <t>LARDER LAKE,  TOWNSHIP OF</t>
  </si>
  <si>
    <t>LATCHFORD, TOWN OF</t>
  </si>
  <si>
    <t>MARATHON,  TOWN OF</t>
  </si>
  <si>
    <t xml:space="preserve">Matachewan, The Corporation of the Township of </t>
  </si>
  <si>
    <t>TRI-NEIGHBOURS</t>
  </si>
  <si>
    <t>PAPINEAU-CAMERON, TOWNSHIP OF</t>
  </si>
  <si>
    <t>POWASSAN, MUNICIPALITY OF</t>
  </si>
  <si>
    <t>SPANISH, TOWN OF</t>
  </si>
  <si>
    <t>CHISHOLM, TOWNSHIP OF</t>
  </si>
  <si>
    <t>EAST FERRIS, MUNICIPALITY OF</t>
  </si>
  <si>
    <t>CALLANDER, MUNICIPALITY OF</t>
  </si>
  <si>
    <t>ATIKAMEKSHENG ANISHNAWBEK FIRST NATION</t>
  </si>
  <si>
    <t>BATCHEWANA FIRST NATIONS OJIBWAYS</t>
  </si>
  <si>
    <t>NIPISSING FIRST NATION</t>
  </si>
  <si>
    <t>COCHRANE, Corporation of the Town of</t>
  </si>
  <si>
    <t>NORTH HURON, TOWNSHIP OF</t>
  </si>
  <si>
    <t>ASHFIELD-COLBORNE-WAWANOSH, TOWNSHIP OF</t>
  </si>
  <si>
    <t>HOWICK, TOWNSHIP OF</t>
  </si>
  <si>
    <t>CHATSWORTH, TOWNSHIP OF</t>
  </si>
  <si>
    <t>THE BLUE MOUNTAINS, TOWN OF</t>
  </si>
  <si>
    <t>THAMES CENTRE, MUNICIPALITY OF</t>
  </si>
  <si>
    <t>WEST ELGIN, MUNICIPALITY OF</t>
  </si>
  <si>
    <t>RIDEAU LAKES, TOWNSHIP OF</t>
  </si>
  <si>
    <t>GEORGIAN BLUFFS, TOWNSHIP OF</t>
  </si>
  <si>
    <t>MEAFORD, MUNICIPALITY OF</t>
  </si>
  <si>
    <t>CENTRAL ELGIN, MUNICIPALITY OF</t>
  </si>
  <si>
    <t>NORTH GRENVILLE, MUNICIPALITY OF</t>
  </si>
  <si>
    <t>WESTPORT, VILLAGE OF</t>
  </si>
  <si>
    <t>OTTAWA VALLEY WASTE RECOVERY CENTRE</t>
  </si>
  <si>
    <t>HAWKESBURY JOINT RECYCLING</t>
  </si>
  <si>
    <t>NORTH GLENGARRY, TOWNSHIP OF</t>
  </si>
  <si>
    <t>ST. CLAIR, TOWNSHIP OF</t>
  </si>
  <si>
    <t>ATHENS, TOWNSHIP OF</t>
  </si>
  <si>
    <t>MERRICKVILLE-WOLFORD, VILLAGE OF</t>
  </si>
  <si>
    <t>NORTH STORMONT, TOWNSHIP OF</t>
  </si>
  <si>
    <t>RUSSELL, TOWNSHIP OF</t>
  </si>
  <si>
    <t>SOUTH FRONTENAC, TOWNSHIP OF</t>
  </si>
  <si>
    <t>SOUTH STORMONT, TOWNSHIP OF</t>
  </si>
  <si>
    <t>NORTH DUNDAS, TOWNSHIP OF</t>
  </si>
  <si>
    <t>WHITEWATER REGION, TOWNSHIP OF</t>
  </si>
  <si>
    <t>SOUTHWOLD, TOWNSHIP OF</t>
  </si>
  <si>
    <t>BAYHAM, MUNICIPALITY OF</t>
  </si>
  <si>
    <t>CLARENCE-ROCKLAND, CITY OF</t>
  </si>
  <si>
    <t>THE NATION, MUNICIPALITY</t>
  </si>
  <si>
    <t>DUTTON-DUNWICH, MUNICIPALITY OF</t>
  </si>
  <si>
    <t>GREATER NAPANEE, TOWNSHIP OF</t>
  </si>
  <si>
    <t>EDWARDSBURGH CARDINAL, TOWNSHIP OF</t>
  </si>
  <si>
    <t>PLYMPTON-WYOMING, TOWN OF</t>
  </si>
  <si>
    <t>SOUTH GLENGARRY, TOWNSHIP OF</t>
  </si>
  <si>
    <t>MALAHIDE, TOWNSHIP OF</t>
  </si>
  <si>
    <t>SOUTH DUNDAS, TOWNSHIP OF</t>
  </si>
  <si>
    <t>BRANT, COUNTY OF</t>
  </si>
  <si>
    <t>HASTINGS HIGHLANDS, MUNICIPALITY OF</t>
  </si>
  <si>
    <t>HORTON, TOWNSHIP OF</t>
  </si>
  <si>
    <t>GREY HIGHLANDS, MUNICIPALITY OF</t>
  </si>
  <si>
    <t>MCNAB-BRAESIDE, TOWNSHIP OF</t>
  </si>
  <si>
    <t>SOUTHWEST MIDDLESEX, MUNICIPALITY OF</t>
  </si>
  <si>
    <t>ALFRED AND PLANTAGENET, TOWNSHIP OF</t>
  </si>
  <si>
    <t>WEST GREY, MUNICIPALITY OF</t>
  </si>
  <si>
    <t>SOUTHGATE, TOWNSHIP OF</t>
  </si>
  <si>
    <t>Burk's Falls, Village of</t>
  </si>
  <si>
    <t>Huron East-Brussels/Tuckersmith, Municipality of</t>
  </si>
  <si>
    <t>Wahta Mohawks First Nation</t>
  </si>
  <si>
    <t>BANCROFT, TOWN OF</t>
  </si>
  <si>
    <t>BECKWITH, TOWNSHIP OF</t>
  </si>
  <si>
    <t>MISSISSAUGAS OF THE NEW CREDIT FIRST NATION</t>
  </si>
  <si>
    <t>LAURENTIAN HILLS, TOWN OF</t>
  </si>
  <si>
    <t>DRUMMOND-NORTH ELMSLEY, TOWNSHIP OF</t>
  </si>
  <si>
    <t>HALDIMAND, COUNTY OF</t>
  </si>
  <si>
    <t>MISSISSIPPI MILLS, TOWN OF</t>
  </si>
  <si>
    <t>MONTAGUE, TOWNSHIP OF</t>
  </si>
  <si>
    <t>NEWBURY,  VILLAGE OF</t>
  </si>
  <si>
    <t>DEEP RIVER, TOWN OF</t>
  </si>
  <si>
    <t>MOHAWKS OF THE BAY OF QUINTE</t>
  </si>
  <si>
    <t>LOYALIST, TOWNSHIP OF</t>
  </si>
  <si>
    <t>ALGONQUINS OF PIKWAKANAGAN</t>
  </si>
  <si>
    <t>ALDERVILLE FIRST NATION</t>
  </si>
  <si>
    <t>CHIPPEWAS OF RAMA FIRST NATION</t>
  </si>
  <si>
    <t>CURVE LAKE FIRST NATION</t>
  </si>
  <si>
    <t>Hiawatha First Nation</t>
  </si>
  <si>
    <t>ARMOUR, TOWNSHIP OF</t>
  </si>
  <si>
    <t>WHITESTONE, MUNICIPALITY OF</t>
  </si>
  <si>
    <t>THE ARCHIPELAGO, TOWNSHIP OF</t>
  </si>
  <si>
    <t>CARLING, TOWNSHIP OF</t>
  </si>
  <si>
    <t>MCDOUGALL, MUNICIPALITY OF</t>
  </si>
  <si>
    <t>SEGUIN, TOWNSHIP OF</t>
  </si>
  <si>
    <t>MCKELLAR, TOWNSHIP OF</t>
  </si>
  <si>
    <t>CASEY, TOWNSHIP OF</t>
  </si>
  <si>
    <t>GILLIES, TOWNSHIP OF</t>
  </si>
  <si>
    <t>KERNS, TOWNSHIP OF</t>
  </si>
  <si>
    <t>HUDSON, TOWNSHIP OF</t>
  </si>
  <si>
    <t>NEEBING, MUNICIPALITY OF</t>
  </si>
  <si>
    <t>CALVIN, MUNICIPALITY OF</t>
  </si>
  <si>
    <t>PERRY, TOWNSHIP OF</t>
  </si>
  <si>
    <t>Temagami First Nation</t>
  </si>
  <si>
    <t>Moose Deer Point</t>
  </si>
  <si>
    <t>Dokis First Nation</t>
  </si>
  <si>
    <t>BILLINGS, TOWNSHIP OF</t>
  </si>
  <si>
    <t>CONMEE,  TOWNSHIP OF</t>
  </si>
  <si>
    <t>EMO, TOWNSHIP OF</t>
  </si>
  <si>
    <t>FRENCH RIVER, MUNICIPALITY OF</t>
  </si>
  <si>
    <t>HARLEY, TOWNSHP OF</t>
  </si>
  <si>
    <t>HEARST, TOWN OF</t>
  </si>
  <si>
    <t>HILLIARD,  TOWNSHIP OF</t>
  </si>
  <si>
    <t>HILTON BEACH,  VILLAGE OF</t>
  </si>
  <si>
    <t>HURON SHORES,  MUNICIPALITY OF</t>
  </si>
  <si>
    <t>KAPUSKASING MOONBEAM LANDFILL SITE, MANAGEMENT BOARD OF</t>
  </si>
  <si>
    <t>KEARNEY, TOWN OF</t>
  </si>
  <si>
    <t>KILLARNEY, MUNICIPALITY OF</t>
  </si>
  <si>
    <t>LAIRD, TOWNSHIP OF</t>
  </si>
  <si>
    <t>MACDONALD, MEREDITH &amp; ABERDEEN ADDITIONAL, TOWNSHIP OF</t>
  </si>
  <si>
    <t>MACHAR, TOWNSHIP OF</t>
  </si>
  <si>
    <t>MAGNETAWAN, MUNICIPALITY OF</t>
  </si>
  <si>
    <t>MCMURRICH/MONTEITH, TOWNSHIP OF</t>
  </si>
  <si>
    <t>NIPISSING, TOWNSHIP OF</t>
  </si>
  <si>
    <t>OCONNOR,  TOWNSHIP OF</t>
  </si>
  <si>
    <t>OLIVER PAIPOONGE,  MUNICIPALITY OF</t>
  </si>
  <si>
    <t>RED LAKE, MUNICIPALITY OF</t>
  </si>
  <si>
    <t>SHUNIAH, MUNICIPALITY OF</t>
  </si>
  <si>
    <t>SIOUX NARROWS NESTOR FALLS, TOWNSHIP OF</t>
  </si>
  <si>
    <t>SOUTH RIVER, VILLAGE OF</t>
  </si>
  <si>
    <t>ST. JOSEPH, TOWNSHIP OF</t>
  </si>
  <si>
    <t>STRONG, TOWNSHIP OF</t>
  </si>
  <si>
    <t>TARBUTT &amp; TARBUTT ADDITIONAL, TOWNSHIP OF</t>
  </si>
  <si>
    <t>TERRACE BAY, TOWNSHIP OF</t>
  </si>
  <si>
    <t>BONFIELD, TOWNSHIP OF</t>
  </si>
  <si>
    <t>CHARLTON AND DACK, MUNICIPALITY OF</t>
  </si>
  <si>
    <t>SERPENT RIVER FIRST NATIONS</t>
  </si>
  <si>
    <t>SAGAMOK ANISHNAWBEK FIRST NATION</t>
  </si>
  <si>
    <t>WIKWEMIKONG UNCEDED INDIAN RESERVE</t>
  </si>
  <si>
    <t>ONEIDA NATION OF THE THAMES</t>
  </si>
  <si>
    <t>DYSART ET AL, TOWNSHIP OF</t>
  </si>
  <si>
    <t>ALGONQUIN HIGHLANDS,TOWNSHIP OF</t>
  </si>
  <si>
    <t>LEEDS AND THE THOUSAND ISLANDS, TOWNSHIP OF</t>
  </si>
  <si>
    <t>ELIZABETHTOWN-KITLEY, TOWNSHIP OF</t>
  </si>
  <si>
    <t>FRONT OF YONGE, TOWNSHIP OF</t>
  </si>
  <si>
    <t>FRONTENAC ISLANDS, TOWNSHIP OF</t>
  </si>
  <si>
    <t>AUGUSTA, TOWNSHIP OF</t>
  </si>
  <si>
    <t>STONE MILLS, TOWNSHIP OF</t>
  </si>
  <si>
    <t>HIGHLANDS EAST, MUNICIPALITY OF</t>
  </si>
  <si>
    <t>BRUDENELL, LYNDOCH AND RAGLAN, TOWNSHIP OF</t>
  </si>
  <si>
    <t>NORTHERN BRUCE PENINSULA, MUNICIPALITY OF</t>
  </si>
  <si>
    <t>CARLOW MAYO, TOWNSHIP OF</t>
  </si>
  <si>
    <t>TAY VALLEY, TOWNSHIP OF</t>
  </si>
  <si>
    <t>LANARK HIGHLANDS, TOWNSHIP OF</t>
  </si>
  <si>
    <t>ADDINGTON HIGHLANDS, TOWNSHIP OF</t>
  </si>
  <si>
    <t>ADMASTON/BROMLEY, TOWNSHIP OF</t>
  </si>
  <si>
    <t>MINDEN HILLS, TOWNSHIP OF</t>
  </si>
  <si>
    <t>GREATER MADAWASKA, TOWNSHIP OF</t>
  </si>
  <si>
    <t>ENNISKILLEN, TOWNSHIP OF</t>
  </si>
  <si>
    <t>BONNECHERE VALLEY, TOWNSHIP OF</t>
  </si>
  <si>
    <t>KILLALOE, HAGARTY, AND RICHARDS, TOWNSHIP OF</t>
  </si>
  <si>
    <t>MADAWASKA VALLEY, TOWNSHIP OF</t>
  </si>
  <si>
    <t>CENTRAL FRONTENAC, TOWNSHIP OF</t>
  </si>
  <si>
    <t>NORTH FRONTENAC, TOWNSHIP OF</t>
  </si>
  <si>
    <t>CHIPPEWAS OF KETTLE AND STONY POINT FIRST NATIONS</t>
  </si>
  <si>
    <t>FARADAY, TOWNSHIP OF</t>
  </si>
  <si>
    <t>Limerick, Township of</t>
  </si>
  <si>
    <t>TUDOR &amp; CASHEL, TOWNSHIP OF</t>
  </si>
  <si>
    <t>WOLLASTON, TOWNSHIP OF</t>
  </si>
  <si>
    <t>WALPOLE ISLAND FIRST NATION</t>
  </si>
  <si>
    <t>SIX NATIONS</t>
  </si>
  <si>
    <t>2022 Municipal Funding</t>
  </si>
  <si>
    <t>Calculation of 2022 Steward Cash Obligation</t>
  </si>
  <si>
    <t>2022 Municipal Payout Breakdown</t>
  </si>
  <si>
    <t>2022 Municipal Payout</t>
  </si>
  <si>
    <t>Amortization Adjustment Payout</t>
  </si>
  <si>
    <t>2020 Marketed Tonnes</t>
  </si>
  <si>
    <t>2020
Adjusted Marketed Tonnes</t>
  </si>
  <si>
    <t>Difference</t>
  </si>
  <si>
    <t>2020 Reported Gross Cost</t>
  </si>
  <si>
    <t>2020 Adjusted Reported Gross Cost</t>
  </si>
  <si>
    <t>2020 Reported Revenue</t>
  </si>
  <si>
    <t>2020 Adjusted Reported Revenue</t>
  </si>
  <si>
    <t>2020 Reported Net Cost</t>
  </si>
  <si>
    <t>2020 Adjusted Reported Net Cost</t>
  </si>
  <si>
    <t xml:space="preserve">2022 MFAM </t>
  </si>
  <si>
    <t>MCGARRY, TOWNSHIP OF</t>
  </si>
  <si>
    <t>SIOUX LOOKOUT, THE CORPORATION OF THE MUNICIPALITY OF</t>
  </si>
  <si>
    <t>ST. CHARLES, MUNICIPALITY OF</t>
  </si>
  <si>
    <t>RAINY RIVER FIRST NATIONS</t>
  </si>
  <si>
    <t>CHIPPEWAS OF NAWASH FIRST NATION</t>
  </si>
  <si>
    <t>Matachewan First Nations</t>
  </si>
  <si>
    <t>ASSIGINACK,  TOWNSHIP OF</t>
  </si>
  <si>
    <t>MATTICE-VAL COTE</t>
  </si>
  <si>
    <t>Maximum:</t>
  </si>
  <si>
    <t>Straight Avg.</t>
  </si>
  <si>
    <r>
      <t xml:space="preserve">2020 Reported &amp; Calculated Gross Costs </t>
    </r>
    <r>
      <rPr>
        <sz val="11"/>
        <rFont val="Calibri"/>
        <family val="2"/>
        <scheme val="minor"/>
      </rPr>
      <t xml:space="preserve"> 2021-06-29- Data finalized by RPRA: Cody Fowler</t>
    </r>
  </si>
  <si>
    <t>Straight SD.</t>
  </si>
  <si>
    <t>Total Gross Residential Cost</t>
  </si>
  <si>
    <t>Reported Revenue</t>
  </si>
  <si>
    <t>Reported Net Cost</t>
  </si>
  <si>
    <t>Tonnes</t>
  </si>
  <si>
    <t>Net Cost per Tonne</t>
  </si>
  <si>
    <t>Prior Year Adjustment (PYA) Re: 2019 Data Year</t>
  </si>
  <si>
    <t>Cutoff Percent:</t>
  </si>
  <si>
    <t>Marketed Tonnes</t>
  </si>
  <si>
    <t>Weighted Average Net Cost/Tonne</t>
  </si>
  <si>
    <t>Maximum Allowable Net Cost/Tonne</t>
  </si>
  <si>
    <t>Calculation of 2021 Steward Cash Obligation</t>
  </si>
  <si>
    <t>CNA/OCNA In-Kind non cash deduction Balance</t>
  </si>
  <si>
    <t>CIF Total Allocation</t>
  </si>
  <si>
    <t>2021 Steward Cash Obligation</t>
  </si>
  <si>
    <t>Cash Obligation Net of CIF Allocation.</t>
  </si>
  <si>
    <t>2021 Steward Cash Obligation to Municipalities Based on:</t>
  </si>
  <si>
    <t>Net Cost Portion of  Obligation</t>
  </si>
  <si>
    <t>Recovered Tonnage Portion of  Obligation</t>
  </si>
  <si>
    <t xml:space="preserve"> </t>
  </si>
  <si>
    <t>Best Practices Portion of  Obligation</t>
  </si>
  <si>
    <t xml:space="preserve">2021 Steward Cash Obligation </t>
  </si>
  <si>
    <t>Total Recovered Tonnes</t>
  </si>
  <si>
    <t>∑ Adj. Net Costs</t>
  </si>
  <si>
    <t>2019
Marketed Tonnes</t>
  </si>
  <si>
    <t>2019
Adjusted Marketed Tonnes</t>
  </si>
  <si>
    <t>2019 Reported Gross Cost</t>
  </si>
  <si>
    <t>2019 Adjusted Reported Gross Cost</t>
  </si>
  <si>
    <t>2019 Reported Revenue</t>
  </si>
  <si>
    <t>2019 Adjusted Reported Revenue</t>
  </si>
  <si>
    <t>2019 Reported Net Cost</t>
  </si>
  <si>
    <t>2019 Adjusted Reported Net Cost</t>
  </si>
  <si>
    <t>Allowable Net Cost per Tonne</t>
  </si>
  <si>
    <t>Best Practices Score</t>
  </si>
  <si>
    <t>Net Cost</t>
  </si>
  <si>
    <t>Recovered Tonnage</t>
  </si>
  <si>
    <t>Best Practices</t>
  </si>
  <si>
    <t>BP Bonus</t>
  </si>
  <si>
    <t>Starting Percent of Adjusted Net Cost</t>
  </si>
  <si>
    <t xml:space="preserve">2021 MFAM </t>
  </si>
  <si>
    <t>Adjusted PYA Re: 2019 Data Year</t>
  </si>
  <si>
    <t>PYA Re: 2019 Data Year - 2022 MFAM</t>
  </si>
  <si>
    <t>MUSKOKA,  DISTRICT MUNICIPALITY OF</t>
  </si>
  <si>
    <t>OXFORD,  RESTRUCTURED COUNTY OF</t>
  </si>
  <si>
    <t>Goulais Local Service Board</t>
  </si>
  <si>
    <t>COBALT, TOWN OF</t>
  </si>
  <si>
    <t>KAPUSKASING, TOWN OF</t>
  </si>
  <si>
    <t>CHIPPEWAS OF GEORGINA ISLAND</t>
  </si>
  <si>
    <t>CHIPPEWAS OF THE THAMES FIRST NATION</t>
  </si>
  <si>
    <t>Matachewan First Nation</t>
  </si>
  <si>
    <t>HARLEY, TOWNSHIP OF</t>
  </si>
  <si>
    <t>HEARST</t>
  </si>
  <si>
    <t>Beausoleil First Nation</t>
  </si>
  <si>
    <t>Re - Calculation of Weighted Averages and Allowable Net Costs for PYA - 2019 Program Year</t>
  </si>
  <si>
    <t>Use Minimum?</t>
  </si>
  <si>
    <t>2019 Marketed Tonnes</t>
  </si>
  <si>
    <t>Weighted Average Group Cost</t>
  </si>
  <si>
    <t>N</t>
  </si>
  <si>
    <t>(xi - xw)²</t>
  </si>
  <si>
    <t>Wt. Std. Deviation Net Cost/T</t>
  </si>
  <si>
    <t>Min. Net Cost per Tonne</t>
  </si>
  <si>
    <t>Max. Net Cost per Tonne</t>
  </si>
  <si>
    <t>2019 Reported &amp; Calculated Gross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</si>
</sst>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&quot;$&quot;#,##0;[Red]\-&quot;$&quot;#,##0"/>
    <numFmt numFmtId="165" formatCode="&quot;$&quot;#,##0.00;\-&quot;$&quot;#,##0.00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$&quot;#,##0.00&quot;/T&quot;;[Red]\(&quot;$&quot;#,##0.00&quot;/T&quot;\);\-"/>
    <numFmt numFmtId="169" formatCode="[=1]&quot;X&quot;;\-"/>
    <numFmt numFmtId="170" formatCode="&quot;$&quot;#,##0;[Red]\(&quot;$&quot;#,##0\);\-"/>
    <numFmt numFmtId="171" formatCode="&quot;$&quot;#,##0.00\ &quot;/T&quot;;[Red]\(&quot;$&quot;#,##0.00\ &quot;/T&quot;\);\-"/>
    <numFmt numFmtId="172" formatCode="&quot;$&quot;#,##0;[Red]&quot;$&quot;#,##0"/>
    <numFmt numFmtId="173" formatCode="[=1]&quot;yes&quot;;[=0]&quot;no&quot;;&quot;error&quot;"/>
    <numFmt numFmtId="174" formatCode="0.0%"/>
    <numFmt numFmtId="175" formatCode=";;"/>
    <numFmt numFmtId="176" formatCode="\$#,##0.00;\-\$#,##0.00"/>
    <numFmt numFmtId="177" formatCode="#,##0\ &quot;T&quot;"/>
    <numFmt numFmtId="178" formatCode="&quot;Group&quot;\ 0"/>
    <numFmt numFmtId="179" formatCode="#,##0.0%&quot; up&quot;;[Red]\(#,##0.0%\)&quot; down&quot;;\-"/>
    <numFmt numFmtId="180" formatCode="#,##0.00%;[Red]\(#,##0.00%\);\-"/>
    <numFmt numFmtId="181" formatCode="&quot;$&quot;#,##0.00"/>
    <numFmt numFmtId="182" formatCode="[=1]&quot;yes&quot;;[=0]\-;&quot;error&quot;"/>
    <numFmt numFmtId="183" formatCode="&quot;$&quot;#,##0.00;[Red]\(&quot;$&quot;#,##0.00\);\-"/>
    <numFmt numFmtId="184" formatCode=";;;"/>
    <numFmt numFmtId="185" formatCode="#,##0\ &quot;T&quot;;[Red]\(#,##0\ &quot;T&quot;\);\-"/>
    <numFmt numFmtId="186" formatCode="&quot;$&quot;#,##0"/>
    <numFmt numFmtId="187" formatCode="&quot;$&quot;#,##0.000;[Red]\(&quot;$&quot;#,##0.000\);\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u/>
      <sz val="11"/>
      <color theme="1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6795556505021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theme="4" tint="0.39997558519241921"/>
        <bgColor rgb="FFC0C0C0"/>
      </patternFill>
    </fill>
    <fill>
      <patternFill patternType="solid">
        <fgColor rgb="FFCCECFF"/>
        <bgColor indexed="64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6" tint="0.79998168889431442"/>
        <bgColor rgb="FFC0C0C0"/>
      </patternFill>
    </fill>
  </fills>
  <borders count="23">
    <border>
      <left/>
      <right/>
      <top/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rgb="FFD0D7E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rgb="FFD0D7E5"/>
      </left>
      <right style="thin">
        <color rgb="FFD0D7E5"/>
      </right>
      <top style="medium">
        <color indexed="64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167" fontId="18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20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168" fontId="0" fillId="0" borderId="0" xfId="0" applyNumberFormat="1"/>
    <xf numFmtId="1" fontId="0" fillId="0" borderId="0" xfId="0" applyNumberFormat="1"/>
    <xf numFmtId="169" fontId="0" fillId="0" borderId="0" xfId="0" applyNumberFormat="1" applyAlignment="1">
      <alignment horizontal="center"/>
    </xf>
    <xf numFmtId="170" fontId="3" fillId="0" borderId="1" xfId="0" applyNumberFormat="1" applyFont="1" applyBorder="1" applyAlignment="1">
      <alignment horizontal="right" vertical="center" wrapText="1"/>
    </xf>
    <xf numFmtId="171" fontId="0" fillId="0" borderId="0" xfId="0" applyNumberFormat="1"/>
    <xf numFmtId="172" fontId="3" fillId="0" borderId="1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horizontal="center"/>
    </xf>
    <xf numFmtId="9" fontId="6" fillId="3" borderId="0" xfId="0" applyNumberFormat="1" applyFont="1" applyFill="1" applyAlignment="1">
      <alignment horizontal="center"/>
    </xf>
    <xf numFmtId="164" fontId="0" fillId="0" borderId="0" xfId="0" applyNumberFormat="1"/>
    <xf numFmtId="173" fontId="6" fillId="3" borderId="0" xfId="0" applyNumberFormat="1" applyFont="1" applyFill="1" applyAlignment="1">
      <alignment horizontal="center"/>
    </xf>
    <xf numFmtId="9" fontId="0" fillId="0" borderId="0" xfId="0" applyNumberFormat="1"/>
    <xf numFmtId="0" fontId="7" fillId="0" borderId="0" xfId="0" applyFont="1" applyAlignment="1">
      <alignment horizontal="left"/>
    </xf>
    <xf numFmtId="170" fontId="0" fillId="0" borderId="0" xfId="0" applyNumberFormat="1"/>
    <xf numFmtId="0" fontId="9" fillId="0" borderId="2" xfId="0" applyFont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/>
    <xf numFmtId="174" fontId="10" fillId="0" borderId="0" xfId="2" applyNumberFormat="1" applyFont="1"/>
    <xf numFmtId="170" fontId="10" fillId="0" borderId="0" xfId="0" applyNumberFormat="1" applyFont="1"/>
    <xf numFmtId="0" fontId="9" fillId="0" borderId="2" xfId="0" applyFont="1" applyBorder="1" applyAlignment="1">
      <alignment vertical="center"/>
    </xf>
    <xf numFmtId="175" fontId="10" fillId="0" borderId="0" xfId="0" applyNumberFormat="1" applyFont="1"/>
    <xf numFmtId="0" fontId="13" fillId="0" borderId="0" xfId="0" applyFont="1"/>
    <xf numFmtId="0" fontId="1" fillId="0" borderId="0" xfId="0" applyFont="1"/>
    <xf numFmtId="0" fontId="6" fillId="0" borderId="0" xfId="0" applyFont="1"/>
    <xf numFmtId="178" fontId="0" fillId="0" borderId="8" xfId="0" applyNumberFormat="1" applyBorder="1" applyAlignment="1">
      <alignment horizontal="center"/>
    </xf>
    <xf numFmtId="171" fontId="0" fillId="0" borderId="9" xfId="0" applyNumberFormat="1" applyBorder="1"/>
    <xf numFmtId="0" fontId="0" fillId="0" borderId="11" xfId="0" applyBorder="1"/>
    <xf numFmtId="170" fontId="0" fillId="0" borderId="12" xfId="0" applyNumberFormat="1" applyBorder="1"/>
    <xf numFmtId="0" fontId="7" fillId="0" borderId="8" xfId="0" applyFont="1" applyBorder="1" applyAlignment="1">
      <alignment horizontal="centerContinuous" vertical="center"/>
    </xf>
    <xf numFmtId="170" fontId="7" fillId="0" borderId="9" xfId="0" applyNumberFormat="1" applyFont="1" applyBorder="1" applyAlignment="1">
      <alignment horizontal="centerContinuous" vertical="center"/>
    </xf>
    <xf numFmtId="170" fontId="7" fillId="0" borderId="10" xfId="0" applyNumberFormat="1" applyFont="1" applyBorder="1" applyAlignment="1">
      <alignment horizontal="centerContinuous" vertical="center"/>
    </xf>
    <xf numFmtId="178" fontId="0" fillId="0" borderId="11" xfId="0" applyNumberFormat="1" applyBorder="1" applyAlignment="1">
      <alignment horizontal="center"/>
    </xf>
    <xf numFmtId="0" fontId="7" fillId="0" borderId="11" xfId="0" applyFont="1" applyBorder="1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0" borderId="12" xfId="0" applyFont="1" applyBorder="1" applyAlignment="1">
      <alignment horizontal="centerContinuous"/>
    </xf>
    <xf numFmtId="0" fontId="1" fillId="0" borderId="0" xfId="0" applyFont="1" applyAlignment="1">
      <alignment horizontal="left" indent="2"/>
    </xf>
    <xf numFmtId="0" fontId="0" fillId="0" borderId="11" xfId="0" applyBorder="1" applyAlignment="1">
      <alignment horizontal="left" indent="1"/>
    </xf>
    <xf numFmtId="170" fontId="0" fillId="0" borderId="0" xfId="0" applyNumberFormat="1" applyProtection="1">
      <protection locked="0"/>
    </xf>
    <xf numFmtId="0" fontId="0" fillId="0" borderId="0" xfId="0" applyAlignment="1">
      <alignment horizontal="left" indent="1"/>
    </xf>
    <xf numFmtId="178" fontId="0" fillId="0" borderId="13" xfId="0" applyNumberFormat="1" applyBorder="1" applyAlignment="1">
      <alignment horizontal="center"/>
    </xf>
    <xf numFmtId="0" fontId="0" fillId="0" borderId="16" xfId="0" applyBorder="1"/>
    <xf numFmtId="171" fontId="0" fillId="0" borderId="16" xfId="0" applyNumberFormat="1" applyBorder="1"/>
    <xf numFmtId="0" fontId="1" fillId="0" borderId="0" xfId="0" applyFont="1" applyProtection="1">
      <protection locked="0"/>
    </xf>
    <xf numFmtId="10" fontId="0" fillId="0" borderId="12" xfId="0" applyNumberFormat="1" applyBorder="1" applyAlignment="1" applyProtection="1">
      <alignment horizontal="center"/>
      <protection locked="0"/>
    </xf>
    <xf numFmtId="179" fontId="1" fillId="0" borderId="0" xfId="0" applyNumberFormat="1" applyFont="1" applyAlignment="1">
      <alignment horizontal="center"/>
    </xf>
    <xf numFmtId="164" fontId="0" fillId="0" borderId="12" xfId="0" applyNumberFormat="1" applyBorder="1"/>
    <xf numFmtId="0" fontId="6" fillId="0" borderId="0" xfId="0" applyFont="1" applyAlignment="1">
      <alignment horizontal="centerContinuous"/>
    </xf>
    <xf numFmtId="0" fontId="0" fillId="0" borderId="13" xfId="0" applyBorder="1" applyAlignment="1">
      <alignment horizontal="left" indent="1"/>
    </xf>
    <xf numFmtId="0" fontId="0" fillId="0" borderId="14" xfId="0" applyBorder="1"/>
    <xf numFmtId="2" fontId="0" fillId="0" borderId="0" xfId="0" applyNumberFormat="1"/>
    <xf numFmtId="175" fontId="0" fillId="0" borderId="0" xfId="0" applyNumberFormat="1"/>
    <xf numFmtId="170" fontId="0" fillId="6" borderId="13" xfId="0" applyNumberFormat="1" applyFill="1" applyBorder="1"/>
    <xf numFmtId="170" fontId="0" fillId="6" borderId="16" xfId="0" applyNumberFormat="1" applyFill="1" applyBorder="1"/>
    <xf numFmtId="9" fontId="6" fillId="0" borderId="0" xfId="2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71" fontId="0" fillId="0" borderId="0" xfId="0" applyNumberFormat="1" applyAlignment="1">
      <alignment horizontal="right"/>
    </xf>
    <xf numFmtId="181" fontId="0" fillId="0" borderId="0" xfId="0" applyNumberFormat="1"/>
    <xf numFmtId="170" fontId="3" fillId="0" borderId="0" xfId="0" applyNumberFormat="1" applyFont="1" applyAlignment="1">
      <alignment horizontal="right" vertical="center" wrapText="1"/>
    </xf>
    <xf numFmtId="168" fontId="0" fillId="0" borderId="10" xfId="0" applyNumberFormat="1" applyBorder="1"/>
    <xf numFmtId="9" fontId="0" fillId="0" borderId="0" xfId="2" applyFont="1"/>
    <xf numFmtId="180" fontId="3" fillId="0" borderId="18" xfId="0" applyNumberFormat="1" applyFont="1" applyBorder="1" applyAlignment="1">
      <alignment horizontal="right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170" fontId="7" fillId="0" borderId="0" xfId="0" applyNumberFormat="1" applyFont="1" applyAlignment="1">
      <alignment horizontal="centerContinuous" vertical="center"/>
    </xf>
    <xf numFmtId="10" fontId="0" fillId="0" borderId="0" xfId="0" applyNumberFormat="1" applyAlignment="1" applyProtection="1">
      <alignment horizontal="center"/>
      <protection locked="0"/>
    </xf>
    <xf numFmtId="0" fontId="5" fillId="8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168" fontId="0" fillId="0" borderId="12" xfId="0" applyNumberFormat="1" applyBorder="1"/>
    <xf numFmtId="168" fontId="0" fillId="0" borderId="14" xfId="0" applyNumberFormat="1" applyBorder="1"/>
    <xf numFmtId="184" fontId="0" fillId="6" borderId="8" xfId="1" applyNumberFormat="1" applyFont="1" applyFill="1" applyBorder="1" applyAlignment="1"/>
    <xf numFmtId="184" fontId="0" fillId="6" borderId="9" xfId="1" applyNumberFormat="1" applyFont="1" applyFill="1" applyBorder="1" applyAlignment="1"/>
    <xf numFmtId="184" fontId="0" fillId="6" borderId="9" xfId="2" applyNumberFormat="1" applyFont="1" applyFill="1" applyBorder="1" applyAlignment="1"/>
    <xf numFmtId="184" fontId="0" fillId="6" borderId="0" xfId="0" applyNumberFormat="1" applyFill="1"/>
    <xf numFmtId="184" fontId="0" fillId="6" borderId="11" xfId="0" applyNumberFormat="1" applyFill="1" applyBorder="1"/>
    <xf numFmtId="184" fontId="0" fillId="6" borderId="0" xfId="1" applyNumberFormat="1" applyFont="1" applyFill="1" applyBorder="1" applyAlignment="1"/>
    <xf numFmtId="184" fontId="0" fillId="6" borderId="12" xfId="0" applyNumberFormat="1" applyFill="1" applyBorder="1"/>
    <xf numFmtId="9" fontId="0" fillId="0" borderId="0" xfId="2" applyFont="1" applyProtection="1"/>
    <xf numFmtId="183" fontId="0" fillId="0" borderId="0" xfId="0" applyNumberFormat="1"/>
    <xf numFmtId="0" fontId="2" fillId="0" borderId="0" xfId="0" applyFont="1" applyAlignment="1">
      <alignment horizontal="center" vertical="center"/>
    </xf>
    <xf numFmtId="164" fontId="0" fillId="0" borderId="0" xfId="1" applyNumberFormat="1" applyFont="1"/>
    <xf numFmtId="170" fontId="0" fillId="0" borderId="15" xfId="0" applyNumberFormat="1" applyBorder="1"/>
    <xf numFmtId="170" fontId="0" fillId="0" borderId="4" xfId="0" applyNumberFormat="1" applyBorder="1"/>
    <xf numFmtId="170" fontId="0" fillId="0" borderId="17" xfId="0" applyNumberFormat="1" applyBorder="1"/>
    <xf numFmtId="0" fontId="0" fillId="0" borderId="0" xfId="0" applyAlignment="1">
      <alignment horizontal="center" vertical="center"/>
    </xf>
    <xf numFmtId="185" fontId="3" fillId="0" borderId="1" xfId="0" applyNumberFormat="1" applyFont="1" applyBorder="1" applyAlignment="1">
      <alignment vertical="center" wrapText="1"/>
    </xf>
    <xf numFmtId="185" fontId="10" fillId="0" borderId="0" xfId="0" applyNumberFormat="1" applyFont="1"/>
    <xf numFmtId="185" fontId="3" fillId="0" borderId="20" xfId="0" applyNumberFormat="1" applyFont="1" applyBorder="1" applyAlignment="1">
      <alignment vertical="center" wrapText="1"/>
    </xf>
    <xf numFmtId="185" fontId="3" fillId="0" borderId="21" xfId="0" applyNumberFormat="1" applyFont="1" applyBorder="1" applyAlignment="1">
      <alignment vertical="center" wrapText="1"/>
    </xf>
    <xf numFmtId="170" fontId="15" fillId="0" borderId="0" xfId="1" applyNumberFormat="1" applyFont="1" applyFill="1" applyBorder="1"/>
    <xf numFmtId="170" fontId="0" fillId="0" borderId="0" xfId="0" applyNumberFormat="1" applyAlignment="1">
      <alignment vertical="center"/>
    </xf>
    <xf numFmtId="186" fontId="0" fillId="0" borderId="0" xfId="0" applyNumberFormat="1"/>
    <xf numFmtId="168" fontId="10" fillId="0" borderId="0" xfId="0" applyNumberFormat="1" applyFont="1"/>
    <xf numFmtId="165" fontId="10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21" fillId="0" borderId="22" xfId="14" applyFont="1" applyBorder="1" applyAlignment="1">
      <alignment horizontal="right" wrapText="1"/>
    </xf>
    <xf numFmtId="176" fontId="3" fillId="0" borderId="2" xfId="0" applyNumberFormat="1" applyFont="1" applyBorder="1" applyAlignment="1">
      <alignment horizontal="right" vertical="center" wrapText="1"/>
    </xf>
    <xf numFmtId="183" fontId="9" fillId="0" borderId="2" xfId="0" applyNumberFormat="1" applyFont="1" applyBorder="1" applyAlignment="1">
      <alignment horizontal="right" vertical="center" wrapText="1"/>
    </xf>
    <xf numFmtId="177" fontId="9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87" fontId="0" fillId="0" borderId="0" xfId="0" applyNumberFormat="1"/>
    <xf numFmtId="170" fontId="3" fillId="0" borderId="1" xfId="0" applyNumberFormat="1" applyFont="1" applyBorder="1" applyAlignment="1">
      <alignment horizontal="right" vertical="center"/>
    </xf>
    <xf numFmtId="0" fontId="5" fillId="11" borderId="3" xfId="0" applyFont="1" applyFill="1" applyBorder="1" applyAlignment="1">
      <alignment horizontal="center" vertical="center" wrapText="1"/>
    </xf>
    <xf numFmtId="170" fontId="3" fillId="0" borderId="18" xfId="0" applyNumberFormat="1" applyFont="1" applyBorder="1" applyAlignment="1">
      <alignment horizontal="right" vertical="center" wrapText="1"/>
    </xf>
    <xf numFmtId="182" fontId="3" fillId="0" borderId="0" xfId="0" applyNumberFormat="1" applyFont="1" applyAlignment="1">
      <alignment horizontal="center" vertical="center" wrapText="1"/>
    </xf>
    <xf numFmtId="170" fontId="3" fillId="0" borderId="0" xfId="0" applyNumberFormat="1" applyFont="1" applyAlignment="1">
      <alignment horizontal="center" vertical="center" wrapText="1"/>
    </xf>
    <xf numFmtId="170" fontId="10" fillId="0" borderId="17" xfId="0" applyNumberFormat="1" applyFont="1" applyBorder="1"/>
    <xf numFmtId="0" fontId="7" fillId="0" borderId="11" xfId="0" applyFont="1" applyBorder="1" applyAlignment="1">
      <alignment horizontal="center"/>
    </xf>
    <xf numFmtId="170" fontId="10" fillId="0" borderId="0" xfId="0" applyNumberFormat="1" applyFont="1" applyAlignment="1">
      <alignment vertical="center"/>
    </xf>
    <xf numFmtId="170" fontId="10" fillId="0" borderId="16" xfId="0" applyNumberFormat="1" applyFont="1" applyBorder="1"/>
    <xf numFmtId="170" fontId="0" fillId="0" borderId="16" xfId="0" applyNumberFormat="1" applyBorder="1" applyProtection="1">
      <protection locked="0"/>
    </xf>
    <xf numFmtId="170" fontId="0" fillId="0" borderId="14" xfId="0" applyNumberFormat="1" applyBorder="1"/>
    <xf numFmtId="0" fontId="14" fillId="0" borderId="12" xfId="0" applyFont="1" applyBorder="1" applyAlignment="1">
      <alignment horizontal="center"/>
    </xf>
    <xf numFmtId="0" fontId="7" fillId="0" borderId="0" xfId="0" applyFont="1"/>
    <xf numFmtId="0" fontId="14" fillId="0" borderId="0" xfId="0" applyFont="1" applyAlignment="1">
      <alignment horizontal="center"/>
    </xf>
    <xf numFmtId="170" fontId="15" fillId="0" borderId="12" xfId="1" applyNumberFormat="1" applyFont="1" applyFill="1" applyBorder="1"/>
    <xf numFmtId="170" fontId="0" fillId="0" borderId="12" xfId="0" applyNumberFormat="1" applyBorder="1" applyAlignment="1">
      <alignment vertical="center"/>
    </xf>
    <xf numFmtId="170" fontId="0" fillId="0" borderId="12" xfId="0" applyNumberFormat="1" applyBorder="1" applyProtection="1">
      <protection locked="0"/>
    </xf>
    <xf numFmtId="0" fontId="7" fillId="0" borderId="0" xfId="0" applyFont="1" applyAlignment="1">
      <alignment vertical="center"/>
    </xf>
    <xf numFmtId="0" fontId="4" fillId="12" borderId="3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Continuous" vertical="center"/>
    </xf>
    <xf numFmtId="0" fontId="0" fillId="0" borderId="13" xfId="0" applyBorder="1"/>
    <xf numFmtId="170" fontId="0" fillId="0" borderId="16" xfId="0" applyNumberFormat="1" applyBorder="1"/>
    <xf numFmtId="15" fontId="0" fillId="0" borderId="0" xfId="0" applyNumberFormat="1" applyAlignment="1">
      <alignment horizontal="center"/>
    </xf>
    <xf numFmtId="184" fontId="0" fillId="0" borderId="0" xfId="0" applyNumberFormat="1"/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</cellXfs>
  <cellStyles count="15">
    <cellStyle name="Comma 2" xfId="9" xr:uid="{00000000-0005-0000-0000-000001000000}"/>
    <cellStyle name="Currency" xfId="1" builtinId="4"/>
    <cellStyle name="Currency 2" xfId="11" xr:uid="{00000000-0005-0000-0000-000003000000}"/>
    <cellStyle name="Normal" xfId="0" builtinId="0"/>
    <cellStyle name="Normal 10" xfId="13" xr:uid="{75A9A523-CA2E-41F1-9743-057949EC6D7F}"/>
    <cellStyle name="Normal 16" xfId="3" xr:uid="{00000000-0005-0000-0000-000005000000}"/>
    <cellStyle name="Normal 18" xfId="4" xr:uid="{00000000-0005-0000-0000-000006000000}"/>
    <cellStyle name="Normal 19" xfId="5" xr:uid="{00000000-0005-0000-0000-000007000000}"/>
    <cellStyle name="Normal 2" xfId="7" xr:uid="{00000000-0005-0000-0000-000008000000}"/>
    <cellStyle name="Normal 3" xfId="8" xr:uid="{00000000-0005-0000-0000-000009000000}"/>
    <cellStyle name="Normal 4" xfId="10" xr:uid="{00000000-0005-0000-0000-00000A000000}"/>
    <cellStyle name="Normal_dbo_COMPLETED_DATACALL_1" xfId="14" xr:uid="{D0E44515-6828-4D3D-B982-338749DD9A97}"/>
    <cellStyle name="Percent" xfId="2" builtinId="5"/>
    <cellStyle name="Percent 2" xfId="6" xr:uid="{00000000-0005-0000-0000-00000C000000}"/>
    <cellStyle name="Percent 3" xfId="12" xr:uid="{00000000-0005-0000-0000-00000D000000}"/>
  </cellStyles>
  <dxfs count="57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  <color rgb="FFCC99FF"/>
      <color rgb="FFFF9999"/>
      <color rgb="FFE2C9E9"/>
      <color rgb="FFD8CCE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2</xdr:col>
      <xdr:colOff>472440</xdr:colOff>
      <xdr:row>0</xdr:row>
      <xdr:rowOff>701040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494F0C-D140-41B9-807F-41F38100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1520190" cy="643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2</xdr:col>
      <xdr:colOff>472440</xdr:colOff>
      <xdr:row>0</xdr:row>
      <xdr:rowOff>701040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3EEC59-F35F-4932-BD5E-1CD0205B2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1520190" cy="643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</xdr:rowOff>
    </xdr:from>
    <xdr:to>
      <xdr:col>2</xdr:col>
      <xdr:colOff>904875</xdr:colOff>
      <xdr:row>0</xdr:row>
      <xdr:rowOff>690952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4AEA4A-3719-4327-B826-8D00BA3D6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9525"/>
          <a:ext cx="1905000" cy="681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B7C7-7D60-476D-AB35-0BAF3261F8B4}">
  <sheetPr>
    <tabColor theme="9" tint="0.59999389629810485"/>
  </sheetPr>
  <dimension ref="B1:AB262"/>
  <sheetViews>
    <sheetView tabSelected="1" zoomScaleNormal="100" zoomScaleSheetLayoutView="50" workbookViewId="0"/>
  </sheetViews>
  <sheetFormatPr defaultColWidth="9.26953125" defaultRowHeight="14.5" x14ac:dyDescent="0.35"/>
  <cols>
    <col min="1" max="1" width="5.7265625" customWidth="1"/>
    <col min="2" max="2" width="11.453125" style="1" customWidth="1"/>
    <col min="3" max="3" width="13.7265625" style="1" customWidth="1"/>
    <col min="4" max="4" width="47.26953125" customWidth="1"/>
    <col min="5" max="5" width="16.26953125" customWidth="1"/>
    <col min="6" max="8" width="14.7265625" customWidth="1"/>
    <col min="9" max="9" width="16.7265625" customWidth="1"/>
    <col min="10" max="10" width="16.26953125" customWidth="1"/>
    <col min="11" max="11" width="15" customWidth="1"/>
    <col min="12" max="13" width="16.26953125" customWidth="1"/>
    <col min="14" max="14" width="5.7265625" customWidth="1"/>
    <col min="15" max="18" width="14.7265625" customWidth="1"/>
    <col min="19" max="19" width="5.7265625" customWidth="1"/>
    <col min="20" max="23" width="14" customWidth="1"/>
    <col min="24" max="24" width="5.7265625" customWidth="1"/>
    <col min="25" max="28" width="12.7265625" customWidth="1"/>
    <col min="29" max="29" width="8.7265625" customWidth="1"/>
    <col min="30" max="31" width="12.7265625" customWidth="1"/>
    <col min="32" max="32" width="4.7265625" customWidth="1"/>
    <col min="33" max="36" width="12.7265625" customWidth="1"/>
  </cols>
  <sheetData>
    <row r="1" spans="2:28" ht="58.5" customHeight="1" thickBot="1" x14ac:dyDescent="0.4">
      <c r="D1" s="24"/>
      <c r="X1" s="16"/>
    </row>
    <row r="2" spans="2:28" ht="15.75" customHeight="1" thickBot="1" x14ac:dyDescent="0.4">
      <c r="B2" s="130" t="s">
        <v>0</v>
      </c>
      <c r="C2" s="131"/>
      <c r="D2" s="131"/>
      <c r="E2" s="131"/>
      <c r="F2" s="131"/>
      <c r="G2" s="132"/>
      <c r="X2" s="16"/>
    </row>
    <row r="3" spans="2:28" ht="15" thickBot="1" x14ac:dyDescent="0.4">
      <c r="B3" s="15"/>
      <c r="X3" s="16"/>
    </row>
    <row r="4" spans="2:28" x14ac:dyDescent="0.35">
      <c r="D4" s="31" t="s">
        <v>1</v>
      </c>
      <c r="E4" s="32"/>
      <c r="F4" s="32"/>
      <c r="G4" s="33"/>
      <c r="X4" s="16"/>
    </row>
    <row r="5" spans="2:28" x14ac:dyDescent="0.35">
      <c r="D5" s="35"/>
      <c r="E5" s="36"/>
      <c r="F5" s="36"/>
      <c r="G5" s="37"/>
      <c r="X5" s="16"/>
    </row>
    <row r="6" spans="2:28" x14ac:dyDescent="0.35">
      <c r="D6" s="39" t="s">
        <v>2</v>
      </c>
      <c r="E6" s="94">
        <v>151505818.03</v>
      </c>
      <c r="F6" s="16"/>
      <c r="G6" s="30"/>
      <c r="X6" s="16"/>
    </row>
    <row r="7" spans="2:28" x14ac:dyDescent="0.35">
      <c r="D7" s="39" t="s">
        <v>3</v>
      </c>
      <c r="E7" s="113">
        <v>-2276747</v>
      </c>
      <c r="F7" s="40"/>
      <c r="G7" s="30"/>
      <c r="X7" s="16"/>
    </row>
    <row r="8" spans="2:28" ht="15" thickBot="1" x14ac:dyDescent="0.4">
      <c r="D8" s="39" t="s">
        <v>4</v>
      </c>
      <c r="E8" s="111">
        <f>E6+E7</f>
        <v>149229071.03</v>
      </c>
      <c r="F8" s="40"/>
      <c r="G8" s="30"/>
      <c r="X8" s="16"/>
    </row>
    <row r="9" spans="2:28" ht="15.5" thickTop="1" thickBot="1" x14ac:dyDescent="0.4">
      <c r="D9" s="50"/>
      <c r="E9" s="114"/>
      <c r="F9" s="115"/>
      <c r="G9" s="116"/>
      <c r="Q9" s="60">
        <f>O10+P10</f>
        <v>4180.4800246046907</v>
      </c>
      <c r="X9" s="16"/>
      <c r="Y9" s="129">
        <v>44927</v>
      </c>
      <c r="Z9" s="129">
        <v>45078</v>
      </c>
      <c r="AA9" s="129">
        <v>45170</v>
      </c>
      <c r="AB9" s="129">
        <v>45261</v>
      </c>
    </row>
    <row r="10" spans="2:28" ht="15" thickBot="1" x14ac:dyDescent="0.4">
      <c r="N10" s="52"/>
      <c r="O10" s="60">
        <f>SUM(O13:O294)</f>
        <v>4176.6320484467651</v>
      </c>
      <c r="P10" s="60">
        <f>SUM(P13:P294)</f>
        <v>3.8479761579251317</v>
      </c>
      <c r="Q10" s="60">
        <f>SUM(Q13:Q294)</f>
        <v>-4180.4800246046916</v>
      </c>
      <c r="R10" s="60">
        <f>SUM(R13:R294)</f>
        <v>-3.2713387554395013E-11</v>
      </c>
      <c r="S10" s="52"/>
      <c r="T10" s="16"/>
      <c r="U10" s="16"/>
      <c r="V10" s="53">
        <f>-V11</f>
        <v>13984.461160218629</v>
      </c>
      <c r="W10" s="16"/>
      <c r="Y10" s="129"/>
      <c r="Z10" s="129">
        <f>Z9-Y9</f>
        <v>151</v>
      </c>
      <c r="AA10" s="129">
        <f>AA9-Y9</f>
        <v>243</v>
      </c>
      <c r="AB10" s="129">
        <f>AB9-Y9</f>
        <v>334</v>
      </c>
    </row>
    <row r="11" spans="2:28" ht="15" thickBot="1" x14ac:dyDescent="0.4">
      <c r="E11" s="90">
        <f>SUM(E13:E287)</f>
        <v>736380.33948608907</v>
      </c>
      <c r="F11" s="12">
        <f>SUM(F13:F287)</f>
        <v>428665586.81999993</v>
      </c>
      <c r="G11" s="12">
        <f>SUM(G13:G287)</f>
        <v>119698946.91999996</v>
      </c>
      <c r="H11" s="12">
        <f>SUM(H13:H287)</f>
        <v>308966639.8999998</v>
      </c>
      <c r="I11" s="58">
        <f>IFERROR(H11/E11,"n.a.")</f>
        <v>419.57480846871044</v>
      </c>
      <c r="J11" s="12"/>
      <c r="K11" s="12"/>
      <c r="L11" s="12">
        <f>SUM(L13:L287)</f>
        <v>267519934.25479451</v>
      </c>
      <c r="M11" s="12">
        <f>SUM(M13:M287)</f>
        <v>149229071.03000015</v>
      </c>
      <c r="N11" s="49"/>
      <c r="O11" s="133" t="s">
        <v>5</v>
      </c>
      <c r="P11" s="134"/>
      <c r="Q11" s="134"/>
      <c r="R11" s="135"/>
      <c r="S11" s="49"/>
      <c r="T11" s="16">
        <f>SUM(T13:T287)</f>
        <v>149229071.02999997</v>
      </c>
      <c r="U11" s="56">
        <v>0.1</v>
      </c>
      <c r="V11" s="16">
        <f>SUM(V13:V287)</f>
        <v>-13984.461160218629</v>
      </c>
      <c r="W11" s="16">
        <f>SUM(W13:W287)</f>
        <v>149215086.56883973</v>
      </c>
      <c r="Y11" s="16">
        <f>SUM(Y13:Y287)</f>
        <v>42997435.020347826</v>
      </c>
      <c r="Z11" s="16">
        <f>SUM(Z13:Z287)</f>
        <v>42997435.020347826</v>
      </c>
      <c r="AA11" s="16">
        <f>SUM(AA13:AA287)</f>
        <v>31963385.071301781</v>
      </c>
      <c r="AB11" s="16">
        <f>SUM(AB13:AB287)</f>
        <v>31256831.456842296</v>
      </c>
    </row>
    <row r="12" spans="2:28" ht="44" thickBot="1" x14ac:dyDescent="0.4">
      <c r="B12" s="64" t="s">
        <v>6</v>
      </c>
      <c r="C12" s="64" t="s">
        <v>7</v>
      </c>
      <c r="D12" s="64" t="s">
        <v>8</v>
      </c>
      <c r="E12" s="65" t="s">
        <v>9</v>
      </c>
      <c r="F12" s="65" t="s">
        <v>10</v>
      </c>
      <c r="G12" s="65" t="s">
        <v>11</v>
      </c>
      <c r="H12" s="65" t="s">
        <v>12</v>
      </c>
      <c r="I12" s="65" t="s">
        <v>13</v>
      </c>
      <c r="J12" s="65" t="s">
        <v>14</v>
      </c>
      <c r="K12" s="65" t="s">
        <v>15</v>
      </c>
      <c r="L12" s="65" t="s">
        <v>16</v>
      </c>
      <c r="M12" s="65" t="s">
        <v>17</v>
      </c>
      <c r="N12" s="57"/>
      <c r="O12" s="65" t="s">
        <v>18</v>
      </c>
      <c r="P12" s="65" t="s">
        <v>19</v>
      </c>
      <c r="Q12" s="65" t="s">
        <v>20</v>
      </c>
      <c r="R12" s="65" t="s">
        <v>21</v>
      </c>
      <c r="S12" s="57"/>
      <c r="T12" s="65" t="s">
        <v>22</v>
      </c>
      <c r="U12" s="65" t="s">
        <v>23</v>
      </c>
      <c r="V12" s="65" t="s">
        <v>24</v>
      </c>
      <c r="W12" s="65" t="s">
        <v>25</v>
      </c>
      <c r="Y12" s="65" t="s">
        <v>26</v>
      </c>
      <c r="Z12" s="65" t="s">
        <v>27</v>
      </c>
      <c r="AA12" s="65" t="s">
        <v>28</v>
      </c>
      <c r="AB12" s="65" t="s">
        <v>29</v>
      </c>
    </row>
    <row r="13" spans="2:28" x14ac:dyDescent="0.35">
      <c r="B13">
        <v>1</v>
      </c>
      <c r="C13" s="17">
        <v>1</v>
      </c>
      <c r="D13" s="22" t="s">
        <v>30</v>
      </c>
      <c r="E13" s="90">
        <v>33795.779999999992</v>
      </c>
      <c r="F13" s="5">
        <v>11533588.4</v>
      </c>
      <c r="G13" s="5">
        <v>950288.1100000001</v>
      </c>
      <c r="H13" s="5">
        <v>10583300.290000001</v>
      </c>
      <c r="I13" s="58">
        <f t="shared" ref="I13:I76" si="0">IFERROR(H13/E13,"n.a.")</f>
        <v>313.15449118203526</v>
      </c>
      <c r="J13">
        <v>365</v>
      </c>
      <c r="K13" s="128" t="str">
        <f>IF(J13=365,"-",J13+$Y$9)</f>
        <v>-</v>
      </c>
      <c r="L13" s="96">
        <f>H13*J13/365</f>
        <v>10583300.290000001</v>
      </c>
      <c r="M13" s="96">
        <f>L13*(E$8/L$11)</f>
        <v>5903620.1362251369</v>
      </c>
      <c r="N13" s="60"/>
      <c r="O13" s="60">
        <f>IFERROR(INDEX('Revised 2020 MFAM(2020 PYAs)'!U$20:U$269,MATCH(B13,'Revised 2020 MFAM(2020 PYAs)'!B$20:B$269,0)),0)</f>
        <v>-8406.4840061990544</v>
      </c>
      <c r="P13" s="60">
        <f>IFERROR(INDEX('Revised 2020 MFAM(2019 PYAs)'!AF$26:AF$274,MATCH(B13,'Revised 2020 MFAM(2019 PYAs)'!B$26:B$274,0)),0)</f>
        <v>-46.926932741887867</v>
      </c>
      <c r="Q13" s="60">
        <f>-Q$9*(M13/E$8)</f>
        <v>-165.38309782402729</v>
      </c>
      <c r="R13" s="60">
        <f>SUM(O13:Q13)</f>
        <v>-8618.7940367649699</v>
      </c>
      <c r="S13" s="60"/>
      <c r="T13" s="108">
        <f>M13+R13</f>
        <v>5895001.3421883723</v>
      </c>
      <c r="U13" s="109">
        <v>0</v>
      </c>
      <c r="V13" s="110">
        <f t="shared" ref="V13:V76" si="1">-$U$11*U13*T13</f>
        <v>0</v>
      </c>
      <c r="W13" s="60">
        <f t="shared" ref="W13:W76" si="2">T13+V13</f>
        <v>5895001.3421883723</v>
      </c>
      <c r="X13" s="62"/>
      <c r="Y13" s="60">
        <f>IF(J13&gt;AB$10,W13/4,
IF(J13&gt;AA$10,W13/3,
IF(J13&gt;Z$10,W13/2,
W13)))</f>
        <v>1473750.3355470931</v>
      </c>
      <c r="Z13" s="60">
        <f>IF(J13&gt;AB$10,W13/4,
IF(J13&gt;AA$10,W13/3,
IF(J13&gt;Z$10,W13/2,0)))</f>
        <v>1473750.3355470931</v>
      </c>
      <c r="AA13" s="60">
        <f>IF(J13&gt;AB$10,W13/4,
IF(J13&gt;AA$10,W13/3,0))</f>
        <v>1473750.3355470931</v>
      </c>
      <c r="AB13" s="60">
        <f>IF(J13&gt;AB$10,W13/4,0)</f>
        <v>1473750.3355470931</v>
      </c>
    </row>
    <row r="14" spans="2:28" x14ac:dyDescent="0.35">
      <c r="B14">
        <v>20</v>
      </c>
      <c r="C14" s="17">
        <v>1</v>
      </c>
      <c r="D14" s="22" t="s">
        <v>31</v>
      </c>
      <c r="E14" s="90">
        <v>94359.44</v>
      </c>
      <c r="F14" s="5">
        <v>68945842.129999995</v>
      </c>
      <c r="G14" s="5">
        <v>18779347.939999998</v>
      </c>
      <c r="H14" s="5">
        <v>50166494.189999998</v>
      </c>
      <c r="I14" s="58">
        <f t="shared" si="0"/>
        <v>531.65315722518062</v>
      </c>
      <c r="J14">
        <v>181</v>
      </c>
      <c r="K14" s="128">
        <f t="shared" ref="K14:K77" si="3">IF(J14=365,"-",J14+$Y$9)</f>
        <v>45108</v>
      </c>
      <c r="L14" s="96">
        <f t="shared" ref="L14:L77" si="4">H14*J14/365</f>
        <v>24877083.420246575</v>
      </c>
      <c r="M14" s="96">
        <f t="shared" ref="M14:M77" si="5">L14*(E$8/L$11)</f>
        <v>13877037.085406197</v>
      </c>
      <c r="N14" s="60"/>
      <c r="O14" s="60">
        <f>IFERROR(INDEX('Revised 2020 MFAM(2020 PYAs)'!U$20:U$269,MATCH(B14,'Revised 2020 MFAM(2020 PYAs)'!B$20:B$269,0)),0)</f>
        <v>-49697.668097995222</v>
      </c>
      <c r="P14" s="60">
        <f>IFERROR(INDEX('Revised 2020 MFAM(2019 PYAs)'!AF$26:AF$274,MATCH(B14,'Revised 2020 MFAM(2019 PYAs)'!B$26:B$274,0)),0)</f>
        <v>-297.97481274604797</v>
      </c>
      <c r="Q14" s="60">
        <f t="shared" ref="Q14:Q77" si="6">-Q$9*(M14/E$8)</f>
        <v>-388.74916218286069</v>
      </c>
      <c r="R14" s="60">
        <f t="shared" ref="R14:R77" si="7">SUM(O14:Q14)</f>
        <v>-50384.392072924129</v>
      </c>
      <c r="S14" s="60"/>
      <c r="T14" s="108">
        <f>M14+R14</f>
        <v>13826652.693333274</v>
      </c>
      <c r="U14" s="109">
        <v>0</v>
      </c>
      <c r="V14" s="110">
        <f t="shared" si="1"/>
        <v>0</v>
      </c>
      <c r="W14" s="60">
        <f t="shared" si="2"/>
        <v>13826652.693333274</v>
      </c>
      <c r="X14" s="62"/>
      <c r="Y14" s="60">
        <f t="shared" ref="Y14:Y77" si="8">IF(J14&gt;AB$10,W14/4,
IF(J14&gt;AA$10,W14/3,
IF(J14&gt;Z$10,W14/2,
W14)))</f>
        <v>6913326.3466666369</v>
      </c>
      <c r="Z14" s="60">
        <f t="shared" ref="Z14:Z77" si="9">IF(J14&gt;AB$10,W14/4,
IF(J14&gt;AA$10,W14/3,
IF(J14&gt;Z$10,W14/2,0)))</f>
        <v>6913326.3466666369</v>
      </c>
      <c r="AA14" s="60">
        <f t="shared" ref="AA14:AA77" si="10">IF(J14&gt;AB$10,W14/4,
IF(J14&gt;AA$10,W14/3,0))</f>
        <v>0</v>
      </c>
      <c r="AB14" s="60">
        <f t="shared" ref="AB14:AB77" si="11">IF(J14&gt;AB$10,W14/4,0)</f>
        <v>0</v>
      </c>
    </row>
    <row r="15" spans="2:28" x14ac:dyDescent="0.35">
      <c r="B15">
        <v>50</v>
      </c>
      <c r="C15" s="17">
        <v>1</v>
      </c>
      <c r="D15" s="22" t="s">
        <v>32</v>
      </c>
      <c r="E15" s="90">
        <v>22326.379999999997</v>
      </c>
      <c r="F15" s="5">
        <v>13269002.77</v>
      </c>
      <c r="G15" s="5">
        <v>4638269.8899999997</v>
      </c>
      <c r="H15" s="5">
        <v>8630732.879999999</v>
      </c>
      <c r="I15" s="58">
        <f t="shared" si="0"/>
        <v>386.57108228024424</v>
      </c>
      <c r="J15">
        <v>181</v>
      </c>
      <c r="K15" s="128">
        <f t="shared" si="3"/>
        <v>45108</v>
      </c>
      <c r="L15" s="96">
        <f t="shared" si="4"/>
        <v>4279897.674739725</v>
      </c>
      <c r="M15" s="96">
        <f t="shared" si="5"/>
        <v>2387430.1400528983</v>
      </c>
      <c r="N15" s="60"/>
      <c r="O15" s="60">
        <f>IFERROR(INDEX('Revised 2020 MFAM(2020 PYAs)'!U$20:U$269,MATCH(B15,'Revised 2020 MFAM(2020 PYAs)'!B$20:B$269,0)),0)</f>
        <v>-8397.6223505744711</v>
      </c>
      <c r="P15" s="60">
        <f>IFERROR(INDEX('Revised 2020 MFAM(2019 PYAs)'!AF$26:AF$274,MATCH(B15,'Revised 2020 MFAM(2019 PYAs)'!B$26:B$274,0)),0)</f>
        <v>104.27791497763246</v>
      </c>
      <c r="Q15" s="60">
        <f t="shared" si="6"/>
        <v>-66.881097240254789</v>
      </c>
      <c r="R15" s="60">
        <f>SUM(O15:Q15)</f>
        <v>-8360.2255328370939</v>
      </c>
      <c r="S15" s="60"/>
      <c r="T15" s="108">
        <f>M15+R15</f>
        <v>2379069.9145200611</v>
      </c>
      <c r="U15" s="109">
        <v>0</v>
      </c>
      <c r="V15" s="110">
        <f t="shared" si="1"/>
        <v>0</v>
      </c>
      <c r="W15" s="60">
        <f t="shared" si="2"/>
        <v>2379069.9145200611</v>
      </c>
      <c r="X15" s="62"/>
      <c r="Y15" s="60">
        <f t="shared" si="8"/>
        <v>1189534.9572600306</v>
      </c>
      <c r="Z15" s="60">
        <f t="shared" si="9"/>
        <v>1189534.9572600306</v>
      </c>
      <c r="AA15" s="60">
        <f t="shared" si="10"/>
        <v>0</v>
      </c>
      <c r="AB15" s="60">
        <f t="shared" si="11"/>
        <v>0</v>
      </c>
    </row>
    <row r="16" spans="2:28" x14ac:dyDescent="0.35">
      <c r="B16">
        <v>97</v>
      </c>
      <c r="C16" s="17">
        <v>1</v>
      </c>
      <c r="D16" s="22" t="s">
        <v>33</v>
      </c>
      <c r="E16" s="90">
        <v>54619.670000000006</v>
      </c>
      <c r="F16" s="5">
        <v>32608605.350000001</v>
      </c>
      <c r="G16" s="5">
        <v>11253837.650000002</v>
      </c>
      <c r="H16" s="5">
        <v>21354767.699999999</v>
      </c>
      <c r="I16" s="58">
        <f t="shared" si="0"/>
        <v>390.97211132912366</v>
      </c>
      <c r="J16">
        <v>365</v>
      </c>
      <c r="K16" s="128" t="str">
        <f t="shared" si="3"/>
        <v>-</v>
      </c>
      <c r="L16" s="96">
        <f t="shared" si="4"/>
        <v>21354767.699999999</v>
      </c>
      <c r="M16" s="96">
        <f t="shared" si="5"/>
        <v>11912204.429959545</v>
      </c>
      <c r="N16" s="60"/>
      <c r="O16" s="60">
        <f>IFERROR(INDEX('Revised 2020 MFAM(2020 PYAs)'!U$20:U$269,MATCH(B16,'Revised 2020 MFAM(2020 PYAs)'!B$20:B$269,0)),0)</f>
        <v>-21676.87618531473</v>
      </c>
      <c r="P16" s="60">
        <f>IFERROR(INDEX('Revised 2020 MFAM(2019 PYAs)'!AF$26:AF$274,MATCH(B16,'Revised 2020 MFAM(2019 PYAs)'!B$26:B$274,0)),0)</f>
        <v>-122.61902746744454</v>
      </c>
      <c r="Q16" s="60">
        <f t="shared" si="6"/>
        <v>-333.7066452584308</v>
      </c>
      <c r="R16" s="60">
        <f t="shared" si="7"/>
        <v>-22133.201858040604</v>
      </c>
      <c r="S16" s="60"/>
      <c r="T16" s="108">
        <f t="shared" ref="T16:T79" si="12">M16+R16</f>
        <v>11890071.228101505</v>
      </c>
      <c r="U16" s="109">
        <v>0</v>
      </c>
      <c r="V16" s="110">
        <f t="shared" si="1"/>
        <v>0</v>
      </c>
      <c r="W16" s="60">
        <f t="shared" si="2"/>
        <v>11890071.228101505</v>
      </c>
      <c r="X16" s="62"/>
      <c r="Y16" s="60">
        <f t="shared" si="8"/>
        <v>2972517.8070253762</v>
      </c>
      <c r="Z16" s="60">
        <f t="shared" si="9"/>
        <v>2972517.8070253762</v>
      </c>
      <c r="AA16" s="60">
        <f t="shared" si="10"/>
        <v>2972517.8070253762</v>
      </c>
      <c r="AB16" s="60">
        <f t="shared" si="11"/>
        <v>2972517.8070253762</v>
      </c>
    </row>
    <row r="17" spans="2:28" x14ac:dyDescent="0.35">
      <c r="B17">
        <v>172</v>
      </c>
      <c r="C17" s="17">
        <v>1</v>
      </c>
      <c r="D17" s="22" t="s">
        <v>34</v>
      </c>
      <c r="E17" s="90">
        <v>32572.74</v>
      </c>
      <c r="F17" s="5">
        <v>18959401.68</v>
      </c>
      <c r="G17" s="5">
        <v>5187768.4799999995</v>
      </c>
      <c r="H17" s="5">
        <v>13771633.199999999</v>
      </c>
      <c r="I17" s="58">
        <f t="shared" si="0"/>
        <v>422.79627688674634</v>
      </c>
      <c r="J17">
        <v>365</v>
      </c>
      <c r="K17" s="128" t="str">
        <f>IF(J17=365,"-",J17+$Y$9)</f>
        <v>-</v>
      </c>
      <c r="L17" s="96">
        <f t="shared" si="4"/>
        <v>13771633.199999999</v>
      </c>
      <c r="M17" s="96">
        <f t="shared" si="5"/>
        <v>7682149.1255471697</v>
      </c>
      <c r="N17" s="60"/>
      <c r="O17" s="60">
        <f>IFERROR(INDEX('Revised 2020 MFAM(2020 PYAs)'!U$20:U$269,MATCH(B17,'Revised 2020 MFAM(2020 PYAs)'!B$20:B$269,0)),0)</f>
        <v>-14682.25026882533</v>
      </c>
      <c r="P17" s="60">
        <f>IFERROR(INDEX('Revised 2020 MFAM(2019 PYAs)'!AF$26:AF$274,MATCH(B17,'Revised 2020 MFAM(2019 PYAs)'!B$26:B$274,0)),0)</f>
        <v>-63.099163518287241</v>
      </c>
      <c r="Q17" s="60">
        <f t="shared" si="6"/>
        <v>-215.20653277355146</v>
      </c>
      <c r="R17" s="60">
        <f t="shared" si="7"/>
        <v>-14960.555965117168</v>
      </c>
      <c r="S17" s="60"/>
      <c r="T17" s="108">
        <f t="shared" si="12"/>
        <v>7667188.5695820525</v>
      </c>
      <c r="U17" s="109">
        <v>0</v>
      </c>
      <c r="V17" s="110">
        <f t="shared" si="1"/>
        <v>0</v>
      </c>
      <c r="W17" s="60">
        <f t="shared" si="2"/>
        <v>7667188.5695820525</v>
      </c>
      <c r="X17" s="62"/>
      <c r="Y17" s="60">
        <f t="shared" si="8"/>
        <v>1916797.1423955131</v>
      </c>
      <c r="Z17" s="60">
        <f t="shared" si="9"/>
        <v>1916797.1423955131</v>
      </c>
      <c r="AA17" s="60">
        <f t="shared" si="10"/>
        <v>1916797.1423955131</v>
      </c>
      <c r="AB17" s="60">
        <f t="shared" si="11"/>
        <v>1916797.1423955131</v>
      </c>
    </row>
    <row r="18" spans="2:28" x14ac:dyDescent="0.35">
      <c r="B18">
        <v>270</v>
      </c>
      <c r="C18" s="17">
        <v>1</v>
      </c>
      <c r="D18" s="22" t="s">
        <v>35</v>
      </c>
      <c r="E18" s="90">
        <v>67066.12999999999</v>
      </c>
      <c r="F18" s="5">
        <v>38890913.579999998</v>
      </c>
      <c r="G18" s="5">
        <v>3758333.17</v>
      </c>
      <c r="H18" s="5">
        <v>35132580.409999996</v>
      </c>
      <c r="I18" s="58">
        <f t="shared" si="0"/>
        <v>523.84982419590938</v>
      </c>
      <c r="J18">
        <v>365</v>
      </c>
      <c r="K18" s="128" t="str">
        <f t="shared" si="3"/>
        <v>-</v>
      </c>
      <c r="L18" s="96">
        <f t="shared" si="4"/>
        <v>35132580.409999996</v>
      </c>
      <c r="M18" s="96">
        <f t="shared" si="5"/>
        <v>19597800.63521421</v>
      </c>
      <c r="N18" s="60"/>
      <c r="O18" s="60">
        <f>IFERROR(INDEX('Revised 2020 MFAM(2020 PYAs)'!U$20:U$269,MATCH(B18,'Revised 2020 MFAM(2020 PYAs)'!B$20:B$269,0)),0)</f>
        <v>-31399.959153216332</v>
      </c>
      <c r="P18" s="60">
        <f>IFERROR(INDEX('Revised 2020 MFAM(2019 PYAs)'!AF$26:AF$274,MATCH(B18,'Revised 2020 MFAM(2019 PYAs)'!B$26:B$274,0)),0)</f>
        <v>-181.64034886471927</v>
      </c>
      <c r="Q18" s="60">
        <f t="shared" si="6"/>
        <v>-549.00974398767005</v>
      </c>
      <c r="R18" s="60">
        <f t="shared" si="7"/>
        <v>-32130.609246068721</v>
      </c>
      <c r="S18" s="60"/>
      <c r="T18" s="108">
        <f t="shared" si="12"/>
        <v>19565670.025968142</v>
      </c>
      <c r="U18" s="109">
        <v>0</v>
      </c>
      <c r="V18" s="110">
        <f t="shared" si="1"/>
        <v>0</v>
      </c>
      <c r="W18" s="60">
        <f t="shared" si="2"/>
        <v>19565670.025968142</v>
      </c>
      <c r="X18" s="62"/>
      <c r="Y18" s="60">
        <f t="shared" si="8"/>
        <v>4891417.5064920355</v>
      </c>
      <c r="Z18" s="60">
        <f t="shared" si="9"/>
        <v>4891417.5064920355</v>
      </c>
      <c r="AA18" s="60">
        <f t="shared" si="10"/>
        <v>4891417.5064920355</v>
      </c>
      <c r="AB18" s="60">
        <f t="shared" si="11"/>
        <v>4891417.5064920355</v>
      </c>
    </row>
    <row r="19" spans="2:28" x14ac:dyDescent="0.35">
      <c r="B19">
        <v>6</v>
      </c>
      <c r="C19" s="17">
        <v>2</v>
      </c>
      <c r="D19" s="22" t="s">
        <v>36</v>
      </c>
      <c r="E19" s="90">
        <v>41238.339999999989</v>
      </c>
      <c r="F19" s="5">
        <v>19296632.219999999</v>
      </c>
      <c r="G19" s="5">
        <v>5947218.3499999996</v>
      </c>
      <c r="H19" s="5">
        <v>13349413.869999999</v>
      </c>
      <c r="I19" s="58">
        <f t="shared" si="0"/>
        <v>323.71365748475819</v>
      </c>
      <c r="J19">
        <v>365</v>
      </c>
      <c r="K19" s="128" t="str">
        <f t="shared" si="3"/>
        <v>-</v>
      </c>
      <c r="L19" s="96">
        <f t="shared" si="4"/>
        <v>13349413.869999997</v>
      </c>
      <c r="M19" s="96">
        <f t="shared" si="5"/>
        <v>7446625.0007288707</v>
      </c>
      <c r="N19" s="60"/>
      <c r="O19" s="60">
        <f>IFERROR(INDEX('Revised 2020 MFAM(2020 PYAs)'!U$20:U$269,MATCH(B19,'Revised 2020 MFAM(2020 PYAs)'!B$20:B$269,0)),0)</f>
        <v>-13218.987319001928</v>
      </c>
      <c r="P19" s="60">
        <f>IFERROR(INDEX('Revised 2020 MFAM(2019 PYAs)'!AF$26:AF$274,MATCH(B19,'Revised 2020 MFAM(2019 PYAs)'!B$26:B$274,0)),0)</f>
        <v>-76.055421467870474</v>
      </c>
      <c r="Q19" s="60">
        <f t="shared" si="6"/>
        <v>-208.6085965114041</v>
      </c>
      <c r="R19" s="60">
        <f t="shared" si="7"/>
        <v>-13503.651336981202</v>
      </c>
      <c r="S19" s="60"/>
      <c r="T19" s="108">
        <f t="shared" si="12"/>
        <v>7433121.3493918898</v>
      </c>
      <c r="U19" s="109">
        <v>0</v>
      </c>
      <c r="V19" s="110">
        <f t="shared" si="1"/>
        <v>0</v>
      </c>
      <c r="W19" s="60">
        <f t="shared" si="2"/>
        <v>7433121.3493918898</v>
      </c>
      <c r="X19" s="62"/>
      <c r="Y19" s="60">
        <f t="shared" si="8"/>
        <v>1858280.3373479724</v>
      </c>
      <c r="Z19" s="60">
        <f t="shared" si="9"/>
        <v>1858280.3373479724</v>
      </c>
      <c r="AA19" s="60">
        <f t="shared" si="10"/>
        <v>1858280.3373479724</v>
      </c>
      <c r="AB19" s="60">
        <f t="shared" si="11"/>
        <v>1858280.3373479724</v>
      </c>
    </row>
    <row r="20" spans="2:28" x14ac:dyDescent="0.35">
      <c r="B20">
        <v>18</v>
      </c>
      <c r="C20" s="17">
        <v>2</v>
      </c>
      <c r="D20" s="22" t="s">
        <v>37</v>
      </c>
      <c r="E20" s="90">
        <v>20313.560000000001</v>
      </c>
      <c r="F20" s="5">
        <v>10257965.42</v>
      </c>
      <c r="G20" s="5">
        <v>5030534.29</v>
      </c>
      <c r="H20" s="5">
        <v>5227431.13</v>
      </c>
      <c r="I20" s="58">
        <f t="shared" si="0"/>
        <v>257.33702659701203</v>
      </c>
      <c r="J20">
        <v>365</v>
      </c>
      <c r="K20" s="128" t="str">
        <f t="shared" si="3"/>
        <v>-</v>
      </c>
      <c r="L20" s="96">
        <f t="shared" si="4"/>
        <v>5227431.13</v>
      </c>
      <c r="M20" s="96">
        <f t="shared" si="5"/>
        <v>2915987.1527937264</v>
      </c>
      <c r="N20" s="60"/>
      <c r="O20" s="60">
        <f>IFERROR(INDEX('Revised 2020 MFAM(2020 PYAs)'!U$20:U$269,MATCH(B20,'Revised 2020 MFAM(2020 PYAs)'!B$20:B$269,0)),0)</f>
        <v>-6243.0853533744812</v>
      </c>
      <c r="P20" s="60">
        <f>IFERROR(INDEX('Revised 2020 MFAM(2019 PYAs)'!AF$26:AF$274,MATCH(B20,'Revised 2020 MFAM(2019 PYAs)'!B$26:B$274,0)),0)</f>
        <v>-30.253751636017114</v>
      </c>
      <c r="Q20" s="60">
        <f t="shared" si="6"/>
        <v>-81.68801132459933</v>
      </c>
      <c r="R20" s="60">
        <f t="shared" si="7"/>
        <v>-6355.0271163350981</v>
      </c>
      <c r="S20" s="60"/>
      <c r="T20" s="108">
        <f t="shared" si="12"/>
        <v>2909632.1256773914</v>
      </c>
      <c r="U20" s="109">
        <v>0</v>
      </c>
      <c r="V20" s="110">
        <f t="shared" si="1"/>
        <v>0</v>
      </c>
      <c r="W20" s="60">
        <f t="shared" si="2"/>
        <v>2909632.1256773914</v>
      </c>
      <c r="X20" s="62"/>
      <c r="Y20" s="60">
        <f t="shared" si="8"/>
        <v>727408.03141934786</v>
      </c>
      <c r="Z20" s="60">
        <f t="shared" si="9"/>
        <v>727408.03141934786</v>
      </c>
      <c r="AA20" s="60">
        <f t="shared" si="10"/>
        <v>727408.03141934786</v>
      </c>
      <c r="AB20" s="60">
        <f t="shared" si="11"/>
        <v>727408.03141934786</v>
      </c>
    </row>
    <row r="21" spans="2:28" x14ac:dyDescent="0.35">
      <c r="B21">
        <v>53</v>
      </c>
      <c r="C21" s="17">
        <v>2</v>
      </c>
      <c r="D21" s="22" t="s">
        <v>38</v>
      </c>
      <c r="E21" s="90">
        <v>32911.329999999994</v>
      </c>
      <c r="F21" s="5">
        <v>12082819.550000001</v>
      </c>
      <c r="G21" s="5">
        <v>6313683.25</v>
      </c>
      <c r="H21" s="5">
        <v>5769136.3000000007</v>
      </c>
      <c r="I21" s="58">
        <f t="shared" si="0"/>
        <v>175.29331996002597</v>
      </c>
      <c r="J21">
        <v>365</v>
      </c>
      <c r="K21" s="128" t="str">
        <f t="shared" si="3"/>
        <v>-</v>
      </c>
      <c r="L21" s="96">
        <f t="shared" si="4"/>
        <v>5769136.3000000007</v>
      </c>
      <c r="M21" s="96">
        <f t="shared" si="5"/>
        <v>3218163.3607702712</v>
      </c>
      <c r="N21" s="60"/>
      <c r="O21" s="60">
        <f>IFERROR(INDEX('Revised 2020 MFAM(2020 PYAs)'!U$20:U$269,MATCH(B21,'Revised 2020 MFAM(2020 PYAs)'!B$20:B$269,0)),0)</f>
        <v>455762.87809252879</v>
      </c>
      <c r="P21" s="60">
        <f>IFERROR(INDEX('Revised 2020 MFAM(2019 PYAs)'!AF$26:AF$274,MATCH(B21,'Revised 2020 MFAM(2019 PYAs)'!B$26:B$274,0)),0)</f>
        <v>-36.311152550391853</v>
      </c>
      <c r="Q21" s="60">
        <f t="shared" si="6"/>
        <v>-90.153128695079957</v>
      </c>
      <c r="R21" s="60">
        <f t="shared" si="7"/>
        <v>455636.4138112833</v>
      </c>
      <c r="S21" s="60"/>
      <c r="T21" s="108">
        <f t="shared" si="12"/>
        <v>3673799.7745815543</v>
      </c>
      <c r="U21" s="109">
        <v>0</v>
      </c>
      <c r="V21" s="110">
        <f t="shared" si="1"/>
        <v>0</v>
      </c>
      <c r="W21" s="60">
        <f t="shared" si="2"/>
        <v>3673799.7745815543</v>
      </c>
      <c r="X21" s="62"/>
      <c r="Y21" s="60">
        <f t="shared" si="8"/>
        <v>918449.94364538859</v>
      </c>
      <c r="Z21" s="60">
        <f t="shared" si="9"/>
        <v>918449.94364538859</v>
      </c>
      <c r="AA21" s="60">
        <f t="shared" si="10"/>
        <v>918449.94364538859</v>
      </c>
      <c r="AB21" s="60">
        <f t="shared" si="11"/>
        <v>918449.94364538859</v>
      </c>
    </row>
    <row r="22" spans="2:28" x14ac:dyDescent="0.35">
      <c r="B22">
        <v>335</v>
      </c>
      <c r="C22" s="17">
        <v>2</v>
      </c>
      <c r="D22" s="22" t="s">
        <v>39</v>
      </c>
      <c r="E22" s="90">
        <v>27614.17</v>
      </c>
      <c r="F22" s="5">
        <v>17318982.5</v>
      </c>
      <c r="G22" s="5">
        <v>4908779.1399999997</v>
      </c>
      <c r="H22" s="5">
        <v>12410203.359999999</v>
      </c>
      <c r="I22" s="58">
        <f t="shared" si="0"/>
        <v>449.41431735952955</v>
      </c>
      <c r="J22">
        <v>365</v>
      </c>
      <c r="K22" s="128" t="str">
        <f t="shared" si="3"/>
        <v>-</v>
      </c>
      <c r="L22" s="96">
        <f t="shared" si="4"/>
        <v>12410203.359999999</v>
      </c>
      <c r="M22" s="96">
        <f t="shared" si="5"/>
        <v>6922710.7275763452</v>
      </c>
      <c r="N22" s="60"/>
      <c r="O22" s="60">
        <f>IFERROR(INDEX('Revised 2020 MFAM(2020 PYAs)'!U$20:U$269,MATCH(B22,'Revised 2020 MFAM(2020 PYAs)'!B$20:B$269,0)),0)</f>
        <v>-10317.143465282395</v>
      </c>
      <c r="P22" s="60">
        <f>IFERROR(INDEX('Revised 2020 MFAM(2019 PYAs)'!AF$26:AF$274,MATCH(B22,'Revised 2020 MFAM(2019 PYAs)'!B$26:B$274,0)),0)</f>
        <v>-56.191044047474861</v>
      </c>
      <c r="Q22" s="60">
        <f t="shared" si="6"/>
        <v>-193.93174341299465</v>
      </c>
      <c r="R22" s="60">
        <f t="shared" si="7"/>
        <v>-10567.266252742866</v>
      </c>
      <c r="S22" s="60"/>
      <c r="T22" s="108">
        <f t="shared" si="12"/>
        <v>6912143.4613236021</v>
      </c>
      <c r="U22" s="109">
        <v>0</v>
      </c>
      <c r="V22" s="110">
        <f t="shared" si="1"/>
        <v>0</v>
      </c>
      <c r="W22" s="60">
        <f t="shared" si="2"/>
        <v>6912143.4613236021</v>
      </c>
      <c r="X22" s="62"/>
      <c r="Y22" s="60">
        <f t="shared" si="8"/>
        <v>1728035.8653309005</v>
      </c>
      <c r="Z22" s="60">
        <f t="shared" si="9"/>
        <v>1728035.8653309005</v>
      </c>
      <c r="AA22" s="60">
        <f t="shared" si="10"/>
        <v>1728035.8653309005</v>
      </c>
      <c r="AB22" s="60">
        <f t="shared" si="11"/>
        <v>1728035.8653309005</v>
      </c>
    </row>
    <row r="23" spans="2:28" x14ac:dyDescent="0.35">
      <c r="B23">
        <v>357</v>
      </c>
      <c r="C23" s="17">
        <v>2</v>
      </c>
      <c r="D23" s="22" t="s">
        <v>40</v>
      </c>
      <c r="E23" s="90">
        <v>37884.240000000005</v>
      </c>
      <c r="F23" s="5">
        <v>21160575.300000001</v>
      </c>
      <c r="G23" s="5">
        <v>8459848.1999999993</v>
      </c>
      <c r="H23" s="5">
        <v>12700727.100000001</v>
      </c>
      <c r="I23" s="58">
        <f t="shared" si="0"/>
        <v>335.25094076059065</v>
      </c>
      <c r="J23">
        <v>365</v>
      </c>
      <c r="K23" s="128" t="str">
        <f t="shared" si="3"/>
        <v>-</v>
      </c>
      <c r="L23" s="96">
        <f t="shared" si="4"/>
        <v>12700727.100000003</v>
      </c>
      <c r="M23" s="96">
        <f t="shared" si="5"/>
        <v>7084771.8762273071</v>
      </c>
      <c r="N23" s="60"/>
      <c r="O23" s="60">
        <f>IFERROR(INDEX('Revised 2020 MFAM(2020 PYAs)'!U$20:U$269,MATCH(B23,'Revised 2020 MFAM(2020 PYAs)'!B$20:B$269,0)),0)</f>
        <v>-9689.4354297798127</v>
      </c>
      <c r="P23" s="60">
        <f>IFERROR(INDEX('Revised 2020 MFAM(2019 PYAs)'!AF$26:AF$274,MATCH(B23,'Revised 2020 MFAM(2019 PYAs)'!B$26:B$274,0)),0)</f>
        <v>-49.995098900981247</v>
      </c>
      <c r="Q23" s="60">
        <f t="shared" si="6"/>
        <v>-198.47169926759915</v>
      </c>
      <c r="R23" s="60">
        <f t="shared" si="7"/>
        <v>-9937.9022279483925</v>
      </c>
      <c r="S23" s="60"/>
      <c r="T23" s="108">
        <f t="shared" si="12"/>
        <v>7074833.9739993587</v>
      </c>
      <c r="U23" s="109">
        <v>0</v>
      </c>
      <c r="V23" s="110">
        <f t="shared" si="1"/>
        <v>0</v>
      </c>
      <c r="W23" s="60">
        <f t="shared" si="2"/>
        <v>7074833.9739993587</v>
      </c>
      <c r="X23" s="62"/>
      <c r="Y23" s="60">
        <f t="shared" si="8"/>
        <v>1768708.4934998397</v>
      </c>
      <c r="Z23" s="60">
        <f t="shared" si="9"/>
        <v>1768708.4934998397</v>
      </c>
      <c r="AA23" s="60">
        <f t="shared" si="10"/>
        <v>1768708.4934998397</v>
      </c>
      <c r="AB23" s="60">
        <f t="shared" si="11"/>
        <v>1768708.4934998397</v>
      </c>
    </row>
    <row r="24" spans="2:28" x14ac:dyDescent="0.35">
      <c r="B24">
        <v>441</v>
      </c>
      <c r="C24" s="17">
        <v>2</v>
      </c>
      <c r="D24" s="22" t="s">
        <v>41</v>
      </c>
      <c r="E24" s="90">
        <v>61685.69000000001</v>
      </c>
      <c r="F24" s="5">
        <v>23764702.100000001</v>
      </c>
      <c r="G24" s="5">
        <v>15408279.369999999</v>
      </c>
      <c r="H24" s="5">
        <v>8356422.7300000023</v>
      </c>
      <c r="I24" s="58">
        <f t="shared" si="0"/>
        <v>135.46776780806053</v>
      </c>
      <c r="J24">
        <v>181</v>
      </c>
      <c r="K24" s="128">
        <f t="shared" si="3"/>
        <v>45108</v>
      </c>
      <c r="L24" s="96">
        <f t="shared" si="4"/>
        <v>4143869.9017260284</v>
      </c>
      <c r="M24" s="96">
        <f t="shared" si="5"/>
        <v>2311550.5677224868</v>
      </c>
      <c r="N24" s="60"/>
      <c r="O24" s="60">
        <f>IFERROR(INDEX('Revised 2020 MFAM(2020 PYAs)'!U$20:U$269,MATCH(B24,'Revised 2020 MFAM(2020 PYAs)'!B$20:B$269,0)),0)</f>
        <v>-12822.189425138757</v>
      </c>
      <c r="P24" s="60">
        <f>IFERROR(INDEX('Revised 2020 MFAM(2019 PYAs)'!AF$26:AF$274,MATCH(B24,'Revised 2020 MFAM(2019 PYAs)'!B$26:B$274,0)),0)</f>
        <v>-63.651113038882613</v>
      </c>
      <c r="Q24" s="60">
        <f t="shared" si="6"/>
        <v>-64.755418683031436</v>
      </c>
      <c r="R24" s="60">
        <f t="shared" si="7"/>
        <v>-12950.59595686067</v>
      </c>
      <c r="S24" s="60"/>
      <c r="T24" s="108">
        <f t="shared" si="12"/>
        <v>2298599.9717656262</v>
      </c>
      <c r="U24" s="109">
        <v>0</v>
      </c>
      <c r="V24" s="110">
        <f t="shared" si="1"/>
        <v>0</v>
      </c>
      <c r="W24" s="60">
        <f t="shared" si="2"/>
        <v>2298599.9717656262</v>
      </c>
      <c r="X24" s="62"/>
      <c r="Y24" s="60">
        <f t="shared" si="8"/>
        <v>1149299.9858828131</v>
      </c>
      <c r="Z24" s="60">
        <f t="shared" si="9"/>
        <v>1149299.9858828131</v>
      </c>
      <c r="AA24" s="60">
        <f t="shared" si="10"/>
        <v>0</v>
      </c>
      <c r="AB24" s="60">
        <f t="shared" si="11"/>
        <v>0</v>
      </c>
    </row>
    <row r="25" spans="2:28" x14ac:dyDescent="0.35">
      <c r="B25">
        <v>14</v>
      </c>
      <c r="C25" s="17">
        <v>3</v>
      </c>
      <c r="D25" s="22" t="s">
        <v>42</v>
      </c>
      <c r="E25" s="90">
        <v>11359.3</v>
      </c>
      <c r="F25" s="5">
        <v>2836113.13</v>
      </c>
      <c r="G25" s="5">
        <v>380885.7</v>
      </c>
      <c r="H25" s="5">
        <v>2455227.4299999997</v>
      </c>
      <c r="I25" s="58">
        <f t="shared" si="0"/>
        <v>216.14249381564002</v>
      </c>
      <c r="J25">
        <v>365</v>
      </c>
      <c r="K25" s="128" t="str">
        <f t="shared" si="3"/>
        <v>-</v>
      </c>
      <c r="L25" s="96">
        <f t="shared" si="4"/>
        <v>2455227.4299999997</v>
      </c>
      <c r="M25" s="96">
        <f t="shared" si="5"/>
        <v>1369585.0724802867</v>
      </c>
      <c r="N25" s="60"/>
      <c r="O25" s="60">
        <f>IFERROR(INDEX('Revised 2020 MFAM(2020 PYAs)'!U$20:U$269,MATCH(B25,'Revised 2020 MFAM(2020 PYAs)'!B$20:B$269,0)),0)</f>
        <v>-2109.1453643622808</v>
      </c>
      <c r="P25" s="60">
        <f>IFERROR(INDEX('Revised 2020 MFAM(2019 PYAs)'!AF$26:AF$274,MATCH(B25,'Revised 2020 MFAM(2019 PYAs)'!B$26:B$274,0)),0)</f>
        <v>-12.515788698103279</v>
      </c>
      <c r="Q25" s="60">
        <f t="shared" si="6"/>
        <v>-38.367343561024953</v>
      </c>
      <c r="R25" s="60">
        <f t="shared" si="7"/>
        <v>-2160.028496621409</v>
      </c>
      <c r="S25" s="60"/>
      <c r="T25" s="108">
        <f t="shared" si="12"/>
        <v>1367425.0439836653</v>
      </c>
      <c r="U25" s="109">
        <v>0</v>
      </c>
      <c r="V25" s="110">
        <f t="shared" si="1"/>
        <v>0</v>
      </c>
      <c r="W25" s="60">
        <f t="shared" si="2"/>
        <v>1367425.0439836653</v>
      </c>
      <c r="X25" s="62"/>
      <c r="Y25" s="60">
        <f t="shared" si="8"/>
        <v>341856.26099591632</v>
      </c>
      <c r="Z25" s="60">
        <f t="shared" si="9"/>
        <v>341856.26099591632</v>
      </c>
      <c r="AA25" s="60">
        <f t="shared" si="10"/>
        <v>341856.26099591632</v>
      </c>
      <c r="AB25" s="60">
        <f t="shared" si="11"/>
        <v>341856.26099591632</v>
      </c>
    </row>
    <row r="26" spans="2:28" x14ac:dyDescent="0.35">
      <c r="B26">
        <v>36</v>
      </c>
      <c r="C26" s="17">
        <v>3</v>
      </c>
      <c r="D26" s="22" t="s">
        <v>43</v>
      </c>
      <c r="E26" s="90">
        <v>4971.59</v>
      </c>
      <c r="F26" s="5">
        <v>7482791.7599999998</v>
      </c>
      <c r="G26" s="5">
        <v>1206895.49</v>
      </c>
      <c r="H26" s="5">
        <v>6275896.2699999996</v>
      </c>
      <c r="I26" s="58">
        <f t="shared" si="0"/>
        <v>1262.3519377100686</v>
      </c>
      <c r="J26">
        <v>365</v>
      </c>
      <c r="K26" s="128" t="str">
        <f t="shared" si="3"/>
        <v>-</v>
      </c>
      <c r="L26" s="96">
        <f t="shared" si="4"/>
        <v>6275896.2699999996</v>
      </c>
      <c r="M26" s="96">
        <f t="shared" si="5"/>
        <v>3500846.2934232987</v>
      </c>
      <c r="N26" s="60"/>
      <c r="O26" s="60">
        <f>IFERROR(INDEX('Revised 2020 MFAM(2020 PYAs)'!U$20:U$269,MATCH(B26,'Revised 2020 MFAM(2020 PYAs)'!B$20:B$269,0)),0)</f>
        <v>-5297.9420750909485</v>
      </c>
      <c r="P26" s="60">
        <f>IFERROR(INDEX('Revised 2020 MFAM(2019 PYAs)'!AF$26:AF$274,MATCH(B26,'Revised 2020 MFAM(2019 PYAs)'!B$26:B$274,0)),0)</f>
        <v>-20.344739688327536</v>
      </c>
      <c r="Q26" s="60">
        <f t="shared" si="6"/>
        <v>-98.07216447742482</v>
      </c>
      <c r="R26" s="60">
        <f t="shared" si="7"/>
        <v>-5416.3589792567009</v>
      </c>
      <c r="S26" s="60"/>
      <c r="T26" s="108">
        <f t="shared" si="12"/>
        <v>3495429.9344440419</v>
      </c>
      <c r="U26" s="109">
        <v>0</v>
      </c>
      <c r="V26" s="110">
        <f t="shared" si="1"/>
        <v>0</v>
      </c>
      <c r="W26" s="60">
        <f t="shared" si="2"/>
        <v>3495429.9344440419</v>
      </c>
      <c r="X26" s="62"/>
      <c r="Y26" s="60">
        <f t="shared" si="8"/>
        <v>873857.48361101048</v>
      </c>
      <c r="Z26" s="60">
        <f t="shared" si="9"/>
        <v>873857.48361101048</v>
      </c>
      <c r="AA26" s="60">
        <f t="shared" si="10"/>
        <v>873857.48361101048</v>
      </c>
      <c r="AB26" s="60">
        <f t="shared" si="11"/>
        <v>873857.48361101048</v>
      </c>
    </row>
    <row r="27" spans="2:28" x14ac:dyDescent="0.35">
      <c r="B27">
        <v>55</v>
      </c>
      <c r="C27" s="17">
        <v>3</v>
      </c>
      <c r="D27" s="22" t="s">
        <v>44</v>
      </c>
      <c r="E27" s="90">
        <v>3158.44</v>
      </c>
      <c r="F27" s="5">
        <v>1434990.18</v>
      </c>
      <c r="G27" s="5">
        <v>217316.16</v>
      </c>
      <c r="H27" s="5">
        <v>1217674.02</v>
      </c>
      <c r="I27" s="58">
        <f t="shared" si="0"/>
        <v>385.53020478464055</v>
      </c>
      <c r="J27">
        <v>272</v>
      </c>
      <c r="K27" s="128">
        <f t="shared" si="3"/>
        <v>45199</v>
      </c>
      <c r="L27" s="96">
        <f t="shared" si="4"/>
        <v>907417.351890411</v>
      </c>
      <c r="M27" s="96">
        <f t="shared" si="5"/>
        <v>506179.28281238634</v>
      </c>
      <c r="N27" s="60"/>
      <c r="O27" s="60">
        <f>IFERROR(INDEX('Revised 2020 MFAM(2020 PYAs)'!U$20:U$269,MATCH(B27,'Revised 2020 MFAM(2020 PYAs)'!B$20:B$269,0)),0)</f>
        <v>-1172.8713032989763</v>
      </c>
      <c r="P27" s="60">
        <f>IFERROR(INDEX('Revised 2020 MFAM(2019 PYAs)'!AF$26:AF$274,MATCH(B27,'Revised 2020 MFAM(2019 PYAs)'!B$26:B$274,0)),0)</f>
        <v>-6.2889745578868315</v>
      </c>
      <c r="Q27" s="60">
        <f t="shared" si="6"/>
        <v>-14.180027832784061</v>
      </c>
      <c r="R27" s="60">
        <f t="shared" si="7"/>
        <v>-1193.3403056896473</v>
      </c>
      <c r="S27" s="60"/>
      <c r="T27" s="108">
        <f t="shared" si="12"/>
        <v>504985.94250669668</v>
      </c>
      <c r="U27" s="109">
        <v>0</v>
      </c>
      <c r="V27" s="110">
        <f t="shared" si="1"/>
        <v>0</v>
      </c>
      <c r="W27" s="60">
        <f t="shared" si="2"/>
        <v>504985.94250669668</v>
      </c>
      <c r="X27" s="62"/>
      <c r="Y27" s="60">
        <f t="shared" si="8"/>
        <v>168328.64750223223</v>
      </c>
      <c r="Z27" s="60">
        <f t="shared" si="9"/>
        <v>168328.64750223223</v>
      </c>
      <c r="AA27" s="60">
        <f t="shared" si="10"/>
        <v>168328.64750223223</v>
      </c>
      <c r="AB27" s="60">
        <f t="shared" si="11"/>
        <v>0</v>
      </c>
    </row>
    <row r="28" spans="2:28" x14ac:dyDescent="0.35">
      <c r="B28">
        <v>103</v>
      </c>
      <c r="C28" s="17">
        <v>3</v>
      </c>
      <c r="D28" s="22" t="s">
        <v>45</v>
      </c>
      <c r="E28" s="90">
        <v>3704.3299999999995</v>
      </c>
      <c r="F28" s="5">
        <v>1882859.76</v>
      </c>
      <c r="G28" s="5">
        <v>722298.07999999984</v>
      </c>
      <c r="H28" s="5">
        <v>1160561.6800000002</v>
      </c>
      <c r="I28" s="58">
        <f t="shared" si="0"/>
        <v>313.29867479409239</v>
      </c>
      <c r="J28">
        <v>181</v>
      </c>
      <c r="K28" s="128">
        <f t="shared" si="3"/>
        <v>45108</v>
      </c>
      <c r="L28" s="96">
        <f t="shared" si="4"/>
        <v>575511.40843835624</v>
      </c>
      <c r="M28" s="96">
        <f t="shared" si="5"/>
        <v>321034.1430729609</v>
      </c>
      <c r="N28" s="60"/>
      <c r="O28" s="60">
        <f>IFERROR(INDEX('Revised 2020 MFAM(2020 PYAs)'!U$20:U$269,MATCH(B28,'Revised 2020 MFAM(2020 PYAs)'!B$20:B$269,0)),0)</f>
        <v>-1361.9879890773445</v>
      </c>
      <c r="P28" s="60">
        <f>IFERROR(INDEX('Revised 2020 MFAM(2019 PYAs)'!AF$26:AF$274,MATCH(B28,'Revised 2020 MFAM(2019 PYAs)'!B$26:B$274,0)),0)</f>
        <v>-6.2690766445593908</v>
      </c>
      <c r="Q28" s="60">
        <f t="shared" si="6"/>
        <v>-8.9934006361454557</v>
      </c>
      <c r="R28" s="60">
        <f t="shared" si="7"/>
        <v>-1377.2504663580494</v>
      </c>
      <c r="S28" s="60"/>
      <c r="T28" s="108">
        <f t="shared" si="12"/>
        <v>319656.89260660287</v>
      </c>
      <c r="U28" s="109">
        <v>0</v>
      </c>
      <c r="V28" s="110">
        <f t="shared" si="1"/>
        <v>0</v>
      </c>
      <c r="W28" s="60">
        <f t="shared" si="2"/>
        <v>319656.89260660287</v>
      </c>
      <c r="X28" s="62"/>
      <c r="Y28" s="60">
        <f t="shared" si="8"/>
        <v>159828.44630330143</v>
      </c>
      <c r="Z28" s="60">
        <f t="shared" si="9"/>
        <v>159828.44630330143</v>
      </c>
      <c r="AA28" s="60">
        <f t="shared" si="10"/>
        <v>0</v>
      </c>
      <c r="AB28" s="60">
        <f t="shared" si="11"/>
        <v>0</v>
      </c>
    </row>
    <row r="29" spans="2:28" x14ac:dyDescent="0.35">
      <c r="B29">
        <v>123</v>
      </c>
      <c r="C29" s="17">
        <v>3</v>
      </c>
      <c r="D29" s="22" t="s">
        <v>46</v>
      </c>
      <c r="E29" s="90">
        <v>6734.17</v>
      </c>
      <c r="F29" s="5">
        <v>3019809.9</v>
      </c>
      <c r="G29" s="5">
        <v>613594.22</v>
      </c>
      <c r="H29" s="5">
        <v>2406215.6799999997</v>
      </c>
      <c r="I29" s="58">
        <f t="shared" si="0"/>
        <v>357.31436539321101</v>
      </c>
      <c r="J29">
        <v>365</v>
      </c>
      <c r="K29" s="128" t="str">
        <f t="shared" si="3"/>
        <v>-</v>
      </c>
      <c r="L29" s="96">
        <f t="shared" si="4"/>
        <v>2406215.6799999997</v>
      </c>
      <c r="M29" s="96">
        <f t="shared" si="5"/>
        <v>1342245.1363277587</v>
      </c>
      <c r="N29" s="60"/>
      <c r="O29" s="60">
        <f>IFERROR(INDEX('Revised 2020 MFAM(2020 PYAs)'!U$20:U$269,MATCH(B29,'Revised 2020 MFAM(2020 PYAs)'!B$20:B$269,0)),0)</f>
        <v>-2359.2272079845425</v>
      </c>
      <c r="P29" s="60">
        <f>IFERROR(INDEX('Revised 2020 MFAM(2019 PYAs)'!AF$26:AF$274,MATCH(B29,'Revised 2020 MFAM(2019 PYAs)'!B$26:B$274,0)),0)</f>
        <v>-12.260473912814632</v>
      </c>
      <c r="Q29" s="60">
        <f t="shared" si="6"/>
        <v>-37.601446834799042</v>
      </c>
      <c r="R29" s="60">
        <f t="shared" si="7"/>
        <v>-2409.089128732156</v>
      </c>
      <c r="S29" s="60"/>
      <c r="T29" s="108">
        <f t="shared" si="12"/>
        <v>1339836.0471990264</v>
      </c>
      <c r="U29" s="109">
        <v>0</v>
      </c>
      <c r="V29" s="110">
        <f t="shared" si="1"/>
        <v>0</v>
      </c>
      <c r="W29" s="60">
        <f t="shared" si="2"/>
        <v>1339836.0471990264</v>
      </c>
      <c r="X29" s="62"/>
      <c r="Y29" s="60">
        <f t="shared" si="8"/>
        <v>334959.01179975661</v>
      </c>
      <c r="Z29" s="60">
        <f t="shared" si="9"/>
        <v>334959.01179975661</v>
      </c>
      <c r="AA29" s="60">
        <f t="shared" si="10"/>
        <v>334959.01179975661</v>
      </c>
      <c r="AB29" s="60">
        <f t="shared" si="11"/>
        <v>334959.01179975661</v>
      </c>
    </row>
    <row r="30" spans="2:28" x14ac:dyDescent="0.35">
      <c r="B30">
        <v>179</v>
      </c>
      <c r="C30" s="17">
        <v>3</v>
      </c>
      <c r="D30" s="22" t="s">
        <v>47</v>
      </c>
      <c r="E30" s="90">
        <v>5299.9</v>
      </c>
      <c r="F30" s="5">
        <v>3204155.18</v>
      </c>
      <c r="G30" s="5">
        <v>16987.400000000001</v>
      </c>
      <c r="H30" s="5">
        <v>3187167.7800000003</v>
      </c>
      <c r="I30" s="58">
        <f t="shared" si="0"/>
        <v>601.36375780675121</v>
      </c>
      <c r="J30">
        <v>365</v>
      </c>
      <c r="K30" s="128" t="str">
        <f t="shared" si="3"/>
        <v>-</v>
      </c>
      <c r="L30" s="96">
        <f t="shared" si="4"/>
        <v>3187167.7800000003</v>
      </c>
      <c r="M30" s="96">
        <f t="shared" si="5"/>
        <v>1777879.0517089227</v>
      </c>
      <c r="N30" s="60"/>
      <c r="O30" s="60">
        <f>IFERROR(INDEX('Revised 2020 MFAM(2020 PYAs)'!U$20:U$269,MATCH(B30,'Revised 2020 MFAM(2020 PYAs)'!B$20:B$269,0)),0)</f>
        <v>-2491.38669383456</v>
      </c>
      <c r="P30" s="60">
        <f>IFERROR(INDEX('Revised 2020 MFAM(2019 PYAs)'!AF$26:AF$274,MATCH(B30,'Revised 2020 MFAM(2019 PYAs)'!B$26:B$274,0)),0)</f>
        <v>-11.631387447239831</v>
      </c>
      <c r="Q30" s="60">
        <f t="shared" si="6"/>
        <v>-49.805227698148201</v>
      </c>
      <c r="R30" s="60">
        <f t="shared" si="7"/>
        <v>-2552.8233089799478</v>
      </c>
      <c r="S30" s="60"/>
      <c r="T30" s="108">
        <f t="shared" si="12"/>
        <v>1775326.2283999429</v>
      </c>
      <c r="U30" s="109">
        <v>0</v>
      </c>
      <c r="V30" s="110">
        <f t="shared" si="1"/>
        <v>0</v>
      </c>
      <c r="W30" s="60">
        <f t="shared" si="2"/>
        <v>1775326.2283999429</v>
      </c>
      <c r="X30" s="62"/>
      <c r="Y30" s="60">
        <f t="shared" si="8"/>
        <v>443831.55709998572</v>
      </c>
      <c r="Z30" s="60">
        <f t="shared" si="9"/>
        <v>443831.55709998572</v>
      </c>
      <c r="AA30" s="60">
        <f t="shared" si="10"/>
        <v>443831.55709998572</v>
      </c>
      <c r="AB30" s="60">
        <f t="shared" si="11"/>
        <v>443831.55709998572</v>
      </c>
    </row>
    <row r="31" spans="2:28" x14ac:dyDescent="0.35">
      <c r="B31">
        <v>293</v>
      </c>
      <c r="C31" s="17">
        <v>3</v>
      </c>
      <c r="D31" s="22" t="s">
        <v>48</v>
      </c>
      <c r="E31" s="90">
        <v>6294.8400000000011</v>
      </c>
      <c r="F31" s="5">
        <v>3660757.3</v>
      </c>
      <c r="G31" s="5">
        <v>1465119.84</v>
      </c>
      <c r="H31" s="5">
        <v>2195637.46</v>
      </c>
      <c r="I31" s="58">
        <f t="shared" si="0"/>
        <v>348.79956599373446</v>
      </c>
      <c r="J31">
        <v>365</v>
      </c>
      <c r="K31" s="128" t="str">
        <f t="shared" si="3"/>
        <v>-</v>
      </c>
      <c r="L31" s="96">
        <f t="shared" si="4"/>
        <v>2195637.46</v>
      </c>
      <c r="M31" s="96">
        <f t="shared" si="5"/>
        <v>1224779.5267563188</v>
      </c>
      <c r="N31" s="60"/>
      <c r="O31" s="60">
        <f>IFERROR(INDEX('Revised 2020 MFAM(2020 PYAs)'!U$20:U$269,MATCH(B31,'Revised 2020 MFAM(2020 PYAs)'!B$20:B$269,0)),0)</f>
        <v>-51817.611882734578</v>
      </c>
      <c r="P31" s="60">
        <f>IFERROR(INDEX('Revised 2020 MFAM(2019 PYAs)'!AF$26:AF$274,MATCH(B31,'Revised 2020 MFAM(2019 PYAs)'!B$26:B$274,0)),0)</f>
        <v>-8.9942023428156972</v>
      </c>
      <c r="Q31" s="60">
        <f t="shared" si="6"/>
        <v>-34.310783487489871</v>
      </c>
      <c r="R31" s="60">
        <f t="shared" si="7"/>
        <v>-51860.916868564884</v>
      </c>
      <c r="S31" s="60"/>
      <c r="T31" s="108">
        <f t="shared" si="12"/>
        <v>1172918.6098877538</v>
      </c>
      <c r="U31" s="109">
        <v>0</v>
      </c>
      <c r="V31" s="110">
        <f t="shared" si="1"/>
        <v>0</v>
      </c>
      <c r="W31" s="60">
        <f t="shared" si="2"/>
        <v>1172918.6098877538</v>
      </c>
      <c r="X31" s="62"/>
      <c r="Y31" s="60">
        <f t="shared" si="8"/>
        <v>293229.65247193846</v>
      </c>
      <c r="Z31" s="60">
        <f t="shared" si="9"/>
        <v>293229.65247193846</v>
      </c>
      <c r="AA31" s="60">
        <f t="shared" si="10"/>
        <v>293229.65247193846</v>
      </c>
      <c r="AB31" s="60">
        <f t="shared" si="11"/>
        <v>293229.65247193846</v>
      </c>
    </row>
    <row r="32" spans="2:28" x14ac:dyDescent="0.35">
      <c r="B32">
        <v>12</v>
      </c>
      <c r="C32" s="17">
        <v>4</v>
      </c>
      <c r="D32" s="22" t="s">
        <v>49</v>
      </c>
      <c r="E32" s="90">
        <v>6048.03</v>
      </c>
      <c r="F32" s="5">
        <v>5173372.76</v>
      </c>
      <c r="G32" s="5">
        <v>1376037.5499999998</v>
      </c>
      <c r="H32" s="5">
        <v>3797335.21</v>
      </c>
      <c r="I32" s="58">
        <f t="shared" si="0"/>
        <v>627.86315709412816</v>
      </c>
      <c r="J32">
        <v>365</v>
      </c>
      <c r="K32" s="128" t="str">
        <f t="shared" si="3"/>
        <v>-</v>
      </c>
      <c r="L32" s="96">
        <f t="shared" si="4"/>
        <v>3797335.2100000004</v>
      </c>
      <c r="M32" s="96">
        <f t="shared" si="5"/>
        <v>2118245.1593984496</v>
      </c>
      <c r="N32" s="60"/>
      <c r="O32" s="60">
        <f>IFERROR(INDEX('Revised 2020 MFAM(2020 PYAs)'!U$20:U$269,MATCH(B32,'Revised 2020 MFAM(2020 PYAs)'!B$20:B$269,0)),0)</f>
        <v>-2296.1702580461279</v>
      </c>
      <c r="P32" s="60">
        <f>IFERROR(INDEX('Revised 2020 MFAM(2019 PYAs)'!AF$26:AF$274,MATCH(B32,'Revised 2020 MFAM(2019 PYAs)'!B$26:B$274,0)),0)</f>
        <v>-12.112533506937325</v>
      </c>
      <c r="Q32" s="60">
        <f t="shared" si="6"/>
        <v>-59.340190989332044</v>
      </c>
      <c r="R32" s="60">
        <f t="shared" si="7"/>
        <v>-2367.622982542397</v>
      </c>
      <c r="S32" s="60"/>
      <c r="T32" s="108">
        <f t="shared" si="12"/>
        <v>2115877.5364159071</v>
      </c>
      <c r="U32" s="109">
        <v>0</v>
      </c>
      <c r="V32" s="110">
        <f t="shared" si="1"/>
        <v>0</v>
      </c>
      <c r="W32" s="60">
        <f t="shared" si="2"/>
        <v>2115877.5364159071</v>
      </c>
      <c r="X32" s="62"/>
      <c r="Y32" s="60">
        <f t="shared" si="8"/>
        <v>528969.38410397677</v>
      </c>
      <c r="Z32" s="60">
        <f t="shared" si="9"/>
        <v>528969.38410397677</v>
      </c>
      <c r="AA32" s="60">
        <f t="shared" si="10"/>
        <v>528969.38410397677</v>
      </c>
      <c r="AB32" s="60">
        <f t="shared" si="11"/>
        <v>528969.38410397677</v>
      </c>
    </row>
    <row r="33" spans="2:28" x14ac:dyDescent="0.35">
      <c r="B33">
        <v>21</v>
      </c>
      <c r="C33" s="17">
        <v>4</v>
      </c>
      <c r="D33" s="22" t="s">
        <v>50</v>
      </c>
      <c r="E33" s="90">
        <v>5438.3499999999995</v>
      </c>
      <c r="F33" s="5">
        <v>4467483.92</v>
      </c>
      <c r="G33" s="5">
        <v>1108723.19</v>
      </c>
      <c r="H33" s="5">
        <v>3358760.73</v>
      </c>
      <c r="I33" s="58">
        <f t="shared" si="0"/>
        <v>617.60657736261919</v>
      </c>
      <c r="J33">
        <v>365</v>
      </c>
      <c r="K33" s="128" t="str">
        <f t="shared" si="3"/>
        <v>-</v>
      </c>
      <c r="L33" s="96">
        <f t="shared" si="4"/>
        <v>3358760.73</v>
      </c>
      <c r="M33" s="96">
        <f t="shared" si="5"/>
        <v>1873597.7374776199</v>
      </c>
      <c r="N33" s="60"/>
      <c r="O33" s="60">
        <f>IFERROR(INDEX('Revised 2020 MFAM(2020 PYAs)'!U$20:U$269,MATCH(B33,'Revised 2020 MFAM(2020 PYAs)'!B$20:B$269,0)),0)</f>
        <v>-2856.6370772335213</v>
      </c>
      <c r="P33" s="60">
        <f>IFERROR(INDEX('Revised 2020 MFAM(2019 PYAs)'!AF$26:AF$274,MATCH(B33,'Revised 2020 MFAM(2019 PYAs)'!B$26:B$274,0)),0)</f>
        <v>-13.536447806516662</v>
      </c>
      <c r="Q33" s="60">
        <f t="shared" si="6"/>
        <v>-52.48667609875514</v>
      </c>
      <c r="R33" s="60">
        <f t="shared" si="7"/>
        <v>-2922.6602011387931</v>
      </c>
      <c r="S33" s="60"/>
      <c r="T33" s="108">
        <f t="shared" si="12"/>
        <v>1870675.0772764811</v>
      </c>
      <c r="U33" s="109">
        <v>0</v>
      </c>
      <c r="V33" s="110">
        <f t="shared" si="1"/>
        <v>0</v>
      </c>
      <c r="W33" s="60">
        <f t="shared" si="2"/>
        <v>1870675.0772764811</v>
      </c>
      <c r="X33" s="62"/>
      <c r="Y33" s="60">
        <f t="shared" si="8"/>
        <v>467668.76931912027</v>
      </c>
      <c r="Z33" s="60">
        <f t="shared" si="9"/>
        <v>467668.76931912027</v>
      </c>
      <c r="AA33" s="60">
        <f t="shared" si="10"/>
        <v>467668.76931912027</v>
      </c>
      <c r="AB33" s="60">
        <f t="shared" si="11"/>
        <v>467668.76931912027</v>
      </c>
    </row>
    <row r="34" spans="2:28" x14ac:dyDescent="0.35">
      <c r="B34">
        <v>34</v>
      </c>
      <c r="C34" s="17">
        <v>4</v>
      </c>
      <c r="D34" s="22" t="s">
        <v>51</v>
      </c>
      <c r="E34" s="90">
        <v>4310.08</v>
      </c>
      <c r="F34" s="5">
        <v>2261735.73</v>
      </c>
      <c r="G34" s="5">
        <v>921612.77999999991</v>
      </c>
      <c r="H34" s="5">
        <v>1340122.9500000002</v>
      </c>
      <c r="I34" s="58">
        <f t="shared" si="0"/>
        <v>310.92762779345168</v>
      </c>
      <c r="J34">
        <v>365</v>
      </c>
      <c r="K34" s="128" t="str">
        <f t="shared" si="3"/>
        <v>-</v>
      </c>
      <c r="L34" s="96">
        <f t="shared" si="4"/>
        <v>1340122.9500000002</v>
      </c>
      <c r="M34" s="96">
        <f t="shared" si="5"/>
        <v>747552.90087657829</v>
      </c>
      <c r="N34" s="60"/>
      <c r="O34" s="60">
        <f>IFERROR(INDEX('Revised 2020 MFAM(2020 PYAs)'!U$20:U$269,MATCH(B34,'Revised 2020 MFAM(2020 PYAs)'!B$20:B$269,0)),0)</f>
        <v>-1410.6722118053585</v>
      </c>
      <c r="P34" s="60">
        <f>IFERROR(INDEX('Revised 2020 MFAM(2019 PYAs)'!AF$26:AF$274,MATCH(B34,'Revised 2020 MFAM(2019 PYAs)'!B$26:B$274,0)),0)</f>
        <v>-8.3360934756929055</v>
      </c>
      <c r="Q34" s="60">
        <f t="shared" si="6"/>
        <v>-20.941830890454121</v>
      </c>
      <c r="R34" s="60">
        <f t="shared" si="7"/>
        <v>-1439.9501361715056</v>
      </c>
      <c r="S34" s="60"/>
      <c r="T34" s="108">
        <f t="shared" si="12"/>
        <v>746112.95074040676</v>
      </c>
      <c r="U34" s="109">
        <v>0</v>
      </c>
      <c r="V34" s="110">
        <f t="shared" si="1"/>
        <v>0</v>
      </c>
      <c r="W34" s="60">
        <f t="shared" si="2"/>
        <v>746112.95074040676</v>
      </c>
      <c r="X34" s="62"/>
      <c r="Y34" s="60">
        <f t="shared" si="8"/>
        <v>186528.23768510169</v>
      </c>
      <c r="Z34" s="60">
        <f t="shared" si="9"/>
        <v>186528.23768510169</v>
      </c>
      <c r="AA34" s="60">
        <f t="shared" si="10"/>
        <v>186528.23768510169</v>
      </c>
      <c r="AB34" s="60">
        <f t="shared" si="11"/>
        <v>186528.23768510169</v>
      </c>
    </row>
    <row r="35" spans="2:28" x14ac:dyDescent="0.35">
      <c r="B35">
        <v>87</v>
      </c>
      <c r="C35" s="17">
        <v>4</v>
      </c>
      <c r="D35" s="22" t="s">
        <v>52</v>
      </c>
      <c r="E35" s="90">
        <v>11249.39</v>
      </c>
      <c r="F35" s="5">
        <v>5666267.4500000002</v>
      </c>
      <c r="G35" s="5">
        <v>1812904.22</v>
      </c>
      <c r="H35" s="5">
        <v>3853363.2300000004</v>
      </c>
      <c r="I35" s="58">
        <f t="shared" si="0"/>
        <v>342.53974926640473</v>
      </c>
      <c r="J35">
        <v>365</v>
      </c>
      <c r="K35" s="128" t="str">
        <f t="shared" si="3"/>
        <v>-</v>
      </c>
      <c r="L35" s="96">
        <f t="shared" si="4"/>
        <v>3853363.23</v>
      </c>
      <c r="M35" s="96">
        <f t="shared" si="5"/>
        <v>2149498.9401663789</v>
      </c>
      <c r="N35" s="60"/>
      <c r="O35" s="60">
        <f>IFERROR(INDEX('Revised 2020 MFAM(2020 PYAs)'!U$20:U$269,MATCH(B35,'Revised 2020 MFAM(2020 PYAs)'!B$20:B$269,0)),0)</f>
        <v>-117278.98813212593</v>
      </c>
      <c r="P35" s="60">
        <f>IFERROR(INDEX('Revised 2020 MFAM(2019 PYAs)'!AF$26:AF$274,MATCH(B35,'Revised 2020 MFAM(2019 PYAs)'!B$26:B$274,0)),0)</f>
        <v>-20.241584124509245</v>
      </c>
      <c r="Q35" s="60">
        <f t="shared" si="6"/>
        <v>-60.215729550899823</v>
      </c>
      <c r="R35" s="60">
        <f t="shared" si="7"/>
        <v>-117359.44544580134</v>
      </c>
      <c r="S35" s="60"/>
      <c r="T35" s="108">
        <f t="shared" si="12"/>
        <v>2032139.4947205775</v>
      </c>
      <c r="U35" s="109">
        <v>0</v>
      </c>
      <c r="V35" s="110">
        <f t="shared" si="1"/>
        <v>0</v>
      </c>
      <c r="W35" s="60">
        <f t="shared" si="2"/>
        <v>2032139.4947205775</v>
      </c>
      <c r="X35" s="62"/>
      <c r="Y35" s="60">
        <f t="shared" si="8"/>
        <v>508034.87368014437</v>
      </c>
      <c r="Z35" s="60">
        <f t="shared" si="9"/>
        <v>508034.87368014437</v>
      </c>
      <c r="AA35" s="60">
        <f t="shared" si="10"/>
        <v>508034.87368014437</v>
      </c>
      <c r="AB35" s="60">
        <f t="shared" si="11"/>
        <v>508034.87368014437</v>
      </c>
    </row>
    <row r="36" spans="2:28" x14ac:dyDescent="0.35">
      <c r="B36">
        <v>88</v>
      </c>
      <c r="C36" s="17">
        <v>4</v>
      </c>
      <c r="D36" s="22" t="s">
        <v>53</v>
      </c>
      <c r="E36" s="90">
        <v>5380.82</v>
      </c>
      <c r="F36" s="5">
        <v>3307471.28</v>
      </c>
      <c r="G36" s="5">
        <v>1048910.48</v>
      </c>
      <c r="H36" s="5">
        <v>2258560.7999999998</v>
      </c>
      <c r="I36" s="58">
        <f t="shared" si="0"/>
        <v>419.74286447047103</v>
      </c>
      <c r="J36">
        <v>365</v>
      </c>
      <c r="K36" s="128" t="str">
        <f t="shared" si="3"/>
        <v>-</v>
      </c>
      <c r="L36" s="96">
        <f t="shared" si="4"/>
        <v>2258560.7999999998</v>
      </c>
      <c r="M36" s="96">
        <f t="shared" si="5"/>
        <v>1259879.6833127327</v>
      </c>
      <c r="N36" s="60"/>
      <c r="O36" s="60">
        <f>IFERROR(INDEX('Revised 2020 MFAM(2020 PYAs)'!U$20:U$269,MATCH(B36,'Revised 2020 MFAM(2020 PYAs)'!B$20:B$269,0)),0)</f>
        <v>-2363.4118509083055</v>
      </c>
      <c r="P36" s="60">
        <f>IFERROR(INDEX('Revised 2020 MFAM(2019 PYAs)'!AF$26:AF$274,MATCH(B36,'Revised 2020 MFAM(2019 PYAs)'!B$26:B$274,0)),0)</f>
        <v>-9.8137375727528706</v>
      </c>
      <c r="Q36" s="60">
        <f t="shared" si="6"/>
        <v>-35.294073823158364</v>
      </c>
      <c r="R36" s="60">
        <f t="shared" si="7"/>
        <v>-2408.5196623042166</v>
      </c>
      <c r="S36" s="60"/>
      <c r="T36" s="108">
        <f t="shared" si="12"/>
        <v>1257471.1636504284</v>
      </c>
      <c r="U36" s="109">
        <v>0</v>
      </c>
      <c r="V36" s="110">
        <f t="shared" si="1"/>
        <v>0</v>
      </c>
      <c r="W36" s="60">
        <f t="shared" si="2"/>
        <v>1257471.1636504284</v>
      </c>
      <c r="X36" s="62"/>
      <c r="Y36" s="60">
        <f t="shared" si="8"/>
        <v>314367.7909126071</v>
      </c>
      <c r="Z36" s="60">
        <f t="shared" si="9"/>
        <v>314367.7909126071</v>
      </c>
      <c r="AA36" s="60">
        <f t="shared" si="10"/>
        <v>314367.7909126071</v>
      </c>
      <c r="AB36" s="60">
        <f t="shared" si="11"/>
        <v>314367.7909126071</v>
      </c>
    </row>
    <row r="37" spans="2:28" x14ac:dyDescent="0.35">
      <c r="B37">
        <v>89</v>
      </c>
      <c r="C37" s="17">
        <v>4</v>
      </c>
      <c r="D37" s="22" t="s">
        <v>54</v>
      </c>
      <c r="E37" s="90">
        <v>5688.74</v>
      </c>
      <c r="F37" s="5">
        <v>5351362.38</v>
      </c>
      <c r="G37" s="5">
        <v>1193245.8599999999</v>
      </c>
      <c r="H37" s="5">
        <v>4158116.52</v>
      </c>
      <c r="I37" s="58">
        <f t="shared" si="0"/>
        <v>730.93804955051564</v>
      </c>
      <c r="J37">
        <v>365</v>
      </c>
      <c r="K37" s="128" t="str">
        <f t="shared" si="3"/>
        <v>-</v>
      </c>
      <c r="L37" s="96">
        <f t="shared" si="4"/>
        <v>4158116.52</v>
      </c>
      <c r="M37" s="96">
        <f t="shared" si="5"/>
        <v>2319497.6749773761</v>
      </c>
      <c r="N37" s="60"/>
      <c r="O37" s="60">
        <f>IFERROR(INDEX('Revised 2020 MFAM(2020 PYAs)'!U$20:U$269,MATCH(B37,'Revised 2020 MFAM(2020 PYAs)'!B$20:B$269,0)),0)</f>
        <v>-3921.3810011809692</v>
      </c>
      <c r="P37" s="60">
        <f>IFERROR(INDEX('Revised 2020 MFAM(2019 PYAs)'!AF$26:AF$274,MATCH(B37,'Revised 2020 MFAM(2019 PYAs)'!B$26:B$274,0)),0)</f>
        <v>20.225838320795447</v>
      </c>
      <c r="Q37" s="60">
        <f t="shared" si="6"/>
        <v>-64.978047711699574</v>
      </c>
      <c r="R37" s="60">
        <f t="shared" si="7"/>
        <v>-3966.1332105718734</v>
      </c>
      <c r="S37" s="60"/>
      <c r="T37" s="108">
        <f t="shared" si="12"/>
        <v>2315531.5417668042</v>
      </c>
      <c r="U37" s="109">
        <v>0</v>
      </c>
      <c r="V37" s="110">
        <f t="shared" si="1"/>
        <v>0</v>
      </c>
      <c r="W37" s="60">
        <f t="shared" si="2"/>
        <v>2315531.5417668042</v>
      </c>
      <c r="X37" s="62"/>
      <c r="Y37" s="60">
        <f t="shared" si="8"/>
        <v>578882.88544170104</v>
      </c>
      <c r="Z37" s="60">
        <f t="shared" si="9"/>
        <v>578882.88544170104</v>
      </c>
      <c r="AA37" s="60">
        <f t="shared" si="10"/>
        <v>578882.88544170104</v>
      </c>
      <c r="AB37" s="60">
        <f t="shared" si="11"/>
        <v>578882.88544170104</v>
      </c>
    </row>
    <row r="38" spans="2:28" x14ac:dyDescent="0.35">
      <c r="B38">
        <v>143</v>
      </c>
      <c r="C38" s="17">
        <v>4</v>
      </c>
      <c r="D38" s="22" t="s">
        <v>55</v>
      </c>
      <c r="E38" s="90">
        <v>2906.48</v>
      </c>
      <c r="F38" s="5">
        <v>1081903.3700000001</v>
      </c>
      <c r="G38" s="5">
        <v>780052.83</v>
      </c>
      <c r="H38" s="5">
        <v>301850.54000000015</v>
      </c>
      <c r="I38" s="58">
        <f t="shared" si="0"/>
        <v>103.85433238831857</v>
      </c>
      <c r="J38">
        <v>365</v>
      </c>
      <c r="K38" s="128" t="str">
        <f t="shared" si="3"/>
        <v>-</v>
      </c>
      <c r="L38" s="96">
        <f t="shared" si="4"/>
        <v>301850.54000000015</v>
      </c>
      <c r="M38" s="96">
        <f t="shared" si="5"/>
        <v>168379.5108561955</v>
      </c>
      <c r="N38" s="60"/>
      <c r="O38" s="60">
        <f>IFERROR(INDEX('Revised 2020 MFAM(2020 PYAs)'!U$20:U$269,MATCH(B38,'Revised 2020 MFAM(2020 PYAs)'!B$20:B$269,0)),0)</f>
        <v>-500.57305722788442</v>
      </c>
      <c r="P38" s="60">
        <f>IFERROR(INDEX('Revised 2020 MFAM(2019 PYAs)'!AF$26:AF$274,MATCH(B38,'Revised 2020 MFAM(2019 PYAs)'!B$26:B$274,0)),0)</f>
        <v>-2.8024449605727568</v>
      </c>
      <c r="Q38" s="60">
        <f t="shared" si="6"/>
        <v>-4.7169574723515186</v>
      </c>
      <c r="R38" s="60">
        <f t="shared" si="7"/>
        <v>-508.09245966080869</v>
      </c>
      <c r="S38" s="60"/>
      <c r="T38" s="108">
        <f t="shared" si="12"/>
        <v>167871.41839653469</v>
      </c>
      <c r="U38" s="109">
        <v>0</v>
      </c>
      <c r="V38" s="110">
        <f t="shared" si="1"/>
        <v>0</v>
      </c>
      <c r="W38" s="60">
        <f t="shared" si="2"/>
        <v>167871.41839653469</v>
      </c>
      <c r="X38" s="62"/>
      <c r="Y38" s="60">
        <f t="shared" si="8"/>
        <v>41967.854599133672</v>
      </c>
      <c r="Z38" s="60">
        <f t="shared" si="9"/>
        <v>41967.854599133672</v>
      </c>
      <c r="AA38" s="60">
        <f t="shared" si="10"/>
        <v>41967.854599133672</v>
      </c>
      <c r="AB38" s="60">
        <f t="shared" si="11"/>
        <v>41967.854599133672</v>
      </c>
    </row>
    <row r="39" spans="2:28" x14ac:dyDescent="0.35">
      <c r="B39">
        <v>183</v>
      </c>
      <c r="C39" s="17">
        <v>4</v>
      </c>
      <c r="D39" s="22" t="s">
        <v>56</v>
      </c>
      <c r="E39" s="90">
        <v>12436.082400000001</v>
      </c>
      <c r="F39" s="5">
        <v>7443477.4699999997</v>
      </c>
      <c r="G39" s="5">
        <v>830619.73</v>
      </c>
      <c r="H39" s="5">
        <v>6612857.7400000002</v>
      </c>
      <c r="I39" s="58">
        <f t="shared" si="0"/>
        <v>531.74766194858921</v>
      </c>
      <c r="J39">
        <v>365</v>
      </c>
      <c r="K39" s="128" t="str">
        <f t="shared" si="3"/>
        <v>-</v>
      </c>
      <c r="L39" s="96">
        <f t="shared" si="4"/>
        <v>6612857.7399999993</v>
      </c>
      <c r="M39" s="96">
        <f t="shared" si="5"/>
        <v>3688811.5277938736</v>
      </c>
      <c r="N39" s="60"/>
      <c r="O39" s="60">
        <f>IFERROR(INDEX('Revised 2020 MFAM(2020 PYAs)'!U$20:U$269,MATCH(B39,'Revised 2020 MFAM(2020 PYAs)'!B$20:B$269,0)),0)</f>
        <v>-5802.6896343738772</v>
      </c>
      <c r="P39" s="60">
        <f>IFERROR(INDEX('Revised 2020 MFAM(2019 PYAs)'!AF$26:AF$274,MATCH(B39,'Revised 2020 MFAM(2019 PYAs)'!B$26:B$274,0)),0)</f>
        <v>-31.464201238937676</v>
      </c>
      <c r="Q39" s="60">
        <f t="shared" si="6"/>
        <v>-103.33779336717619</v>
      </c>
      <c r="R39" s="60">
        <f t="shared" si="7"/>
        <v>-5937.4916289799912</v>
      </c>
      <c r="S39" s="60"/>
      <c r="T39" s="108">
        <f t="shared" si="12"/>
        <v>3682874.0361648938</v>
      </c>
      <c r="U39" s="109">
        <v>0</v>
      </c>
      <c r="V39" s="110">
        <f t="shared" si="1"/>
        <v>0</v>
      </c>
      <c r="W39" s="60">
        <f t="shared" si="2"/>
        <v>3682874.0361648938</v>
      </c>
      <c r="X39" s="62"/>
      <c r="Y39" s="60">
        <f t="shared" si="8"/>
        <v>920718.50904122344</v>
      </c>
      <c r="Z39" s="60">
        <f t="shared" si="9"/>
        <v>920718.50904122344</v>
      </c>
      <c r="AA39" s="60">
        <f t="shared" si="10"/>
        <v>920718.50904122344</v>
      </c>
      <c r="AB39" s="60">
        <f t="shared" si="11"/>
        <v>920718.50904122344</v>
      </c>
    </row>
    <row r="40" spans="2:28" x14ac:dyDescent="0.35">
      <c r="B40">
        <v>186</v>
      </c>
      <c r="C40" s="17">
        <v>4</v>
      </c>
      <c r="D40" s="22" t="s">
        <v>57</v>
      </c>
      <c r="E40" s="90">
        <v>9865.7900000000009</v>
      </c>
      <c r="F40" s="5">
        <v>9340767.2400000002</v>
      </c>
      <c r="G40" s="5">
        <v>2557234.56</v>
      </c>
      <c r="H40" s="5">
        <v>6783532.6799999997</v>
      </c>
      <c r="I40" s="58">
        <f t="shared" si="0"/>
        <v>687.58129658141911</v>
      </c>
      <c r="J40">
        <v>365</v>
      </c>
      <c r="K40" s="128" t="str">
        <f t="shared" si="3"/>
        <v>-</v>
      </c>
      <c r="L40" s="96">
        <f t="shared" si="4"/>
        <v>6783532.6799999997</v>
      </c>
      <c r="M40" s="96">
        <f t="shared" si="5"/>
        <v>3784018.1254451829</v>
      </c>
      <c r="N40" s="60"/>
      <c r="O40" s="60">
        <f>IFERROR(INDEX('Revised 2020 MFAM(2020 PYAs)'!U$20:U$269,MATCH(B40,'Revised 2020 MFAM(2020 PYAs)'!B$20:B$269,0)),0)</f>
        <v>-5504.5114409741946</v>
      </c>
      <c r="P40" s="60">
        <f>IFERROR(INDEX('Revised 2020 MFAM(2019 PYAs)'!AF$26:AF$274,MATCH(B40,'Revised 2020 MFAM(2019 PYAs)'!B$26:B$274,0)),0)</f>
        <v>-33.576459211297333</v>
      </c>
      <c r="Q40" s="60">
        <f t="shared" si="6"/>
        <v>-106.00489621077602</v>
      </c>
      <c r="R40" s="60">
        <f t="shared" si="7"/>
        <v>-5644.0927963962677</v>
      </c>
      <c r="S40" s="60"/>
      <c r="T40" s="108">
        <f t="shared" si="12"/>
        <v>3778374.0326487864</v>
      </c>
      <c r="U40" s="109">
        <v>0</v>
      </c>
      <c r="V40" s="110">
        <f t="shared" si="1"/>
        <v>0</v>
      </c>
      <c r="W40" s="60">
        <f t="shared" si="2"/>
        <v>3778374.0326487864</v>
      </c>
      <c r="X40" s="62"/>
      <c r="Y40" s="60">
        <f t="shared" si="8"/>
        <v>944593.50816219661</v>
      </c>
      <c r="Z40" s="60">
        <f t="shared" si="9"/>
        <v>944593.50816219661</v>
      </c>
      <c r="AA40" s="60">
        <f t="shared" si="10"/>
        <v>944593.50816219661</v>
      </c>
      <c r="AB40" s="60">
        <f t="shared" si="11"/>
        <v>944593.50816219661</v>
      </c>
    </row>
    <row r="41" spans="2:28" x14ac:dyDescent="0.35">
      <c r="B41">
        <v>190</v>
      </c>
      <c r="C41" s="17">
        <v>4</v>
      </c>
      <c r="D41" s="22" t="s">
        <v>58</v>
      </c>
      <c r="E41" s="90">
        <v>3127.4500000000003</v>
      </c>
      <c r="F41" s="5">
        <v>2633695.42</v>
      </c>
      <c r="G41" s="5">
        <v>797103.2</v>
      </c>
      <c r="H41" s="5">
        <v>1836592.22</v>
      </c>
      <c r="I41" s="58">
        <f t="shared" si="0"/>
        <v>587.24910710003348</v>
      </c>
      <c r="J41">
        <v>365</v>
      </c>
      <c r="K41" s="128" t="str">
        <f t="shared" si="3"/>
        <v>-</v>
      </c>
      <c r="L41" s="96">
        <f t="shared" si="4"/>
        <v>1836592.22</v>
      </c>
      <c r="M41" s="96">
        <f t="shared" si="5"/>
        <v>1024495.432891702</v>
      </c>
      <c r="N41" s="60"/>
      <c r="O41" s="60">
        <f>IFERROR(INDEX('Revised 2020 MFAM(2020 PYAs)'!U$20:U$269,MATCH(B41,'Revised 2020 MFAM(2020 PYAs)'!B$20:B$269,0)),0)</f>
        <v>-1649.4300155587262</v>
      </c>
      <c r="P41" s="60">
        <f>IFERROR(INDEX('Revised 2020 MFAM(2019 PYAs)'!AF$26:AF$274,MATCH(B41,'Revised 2020 MFAM(2019 PYAs)'!B$26:B$274,0)),0)</f>
        <v>-8.4640341963386163</v>
      </c>
      <c r="Q41" s="60">
        <f t="shared" si="6"/>
        <v>-28.700055980657375</v>
      </c>
      <c r="R41" s="60">
        <f t="shared" si="7"/>
        <v>-1686.5941057357222</v>
      </c>
      <c r="S41" s="60"/>
      <c r="T41" s="108">
        <f t="shared" si="12"/>
        <v>1022808.8387859663</v>
      </c>
      <c r="U41" s="109">
        <v>0</v>
      </c>
      <c r="V41" s="110">
        <f t="shared" si="1"/>
        <v>0</v>
      </c>
      <c r="W41" s="60">
        <f t="shared" si="2"/>
        <v>1022808.8387859663</v>
      </c>
      <c r="X41" s="62"/>
      <c r="Y41" s="60">
        <f t="shared" si="8"/>
        <v>255702.20969649157</v>
      </c>
      <c r="Z41" s="60">
        <f t="shared" si="9"/>
        <v>255702.20969649157</v>
      </c>
      <c r="AA41" s="60">
        <f t="shared" si="10"/>
        <v>255702.20969649157</v>
      </c>
      <c r="AB41" s="60">
        <f t="shared" si="11"/>
        <v>255702.20969649157</v>
      </c>
    </row>
    <row r="42" spans="2:28" x14ac:dyDescent="0.35">
      <c r="B42">
        <v>324</v>
      </c>
      <c r="C42" s="17">
        <v>4</v>
      </c>
      <c r="D42" s="22" t="s">
        <v>59</v>
      </c>
      <c r="E42" s="90">
        <v>7255.69</v>
      </c>
      <c r="F42" s="5">
        <v>5427830.5599999996</v>
      </c>
      <c r="G42" s="5">
        <v>1691010.1199999999</v>
      </c>
      <c r="H42" s="5">
        <v>3736820.4399999995</v>
      </c>
      <c r="I42" s="58">
        <f t="shared" si="0"/>
        <v>515.0193076054793</v>
      </c>
      <c r="J42">
        <v>365</v>
      </c>
      <c r="K42" s="128" t="str">
        <f t="shared" si="3"/>
        <v>-</v>
      </c>
      <c r="L42" s="96">
        <f t="shared" si="4"/>
        <v>3736820.44</v>
      </c>
      <c r="M42" s="96">
        <f t="shared" si="5"/>
        <v>2084488.5612748377</v>
      </c>
      <c r="N42" s="60"/>
      <c r="O42" s="60">
        <f>IFERROR(INDEX('Revised 2020 MFAM(2020 PYAs)'!U$20:U$269,MATCH(B42,'Revised 2020 MFAM(2020 PYAs)'!B$20:B$269,0)),0)</f>
        <v>-5150.6461306649726</v>
      </c>
      <c r="P42" s="60">
        <f>IFERROR(INDEX('Revised 2020 MFAM(2019 PYAs)'!AF$26:AF$274,MATCH(B42,'Revised 2020 MFAM(2019 PYAs)'!B$26:B$274,0)),0)</f>
        <v>583.02496194280684</v>
      </c>
      <c r="Q42" s="60">
        <f t="shared" si="6"/>
        <v>-58.394538890981863</v>
      </c>
      <c r="R42" s="60">
        <f t="shared" si="7"/>
        <v>-4626.0157076131472</v>
      </c>
      <c r="S42" s="60"/>
      <c r="T42" s="108">
        <f t="shared" si="12"/>
        <v>2079862.5455672245</v>
      </c>
      <c r="U42" s="109">
        <v>0</v>
      </c>
      <c r="V42" s="110">
        <f t="shared" si="1"/>
        <v>0</v>
      </c>
      <c r="W42" s="60">
        <f t="shared" si="2"/>
        <v>2079862.5455672245</v>
      </c>
      <c r="X42" s="62"/>
      <c r="Y42" s="60">
        <f t="shared" si="8"/>
        <v>519965.63639180613</v>
      </c>
      <c r="Z42" s="60">
        <f t="shared" si="9"/>
        <v>519965.63639180613</v>
      </c>
      <c r="AA42" s="60">
        <f t="shared" si="10"/>
        <v>519965.63639180613</v>
      </c>
      <c r="AB42" s="60">
        <f t="shared" si="11"/>
        <v>519965.63639180613</v>
      </c>
    </row>
    <row r="43" spans="2:28" x14ac:dyDescent="0.35">
      <c r="B43">
        <v>429</v>
      </c>
      <c r="C43" s="17">
        <v>4</v>
      </c>
      <c r="D43" s="22" t="s">
        <v>60</v>
      </c>
      <c r="E43" s="90">
        <v>4026.1830000000004</v>
      </c>
      <c r="F43" s="5">
        <v>1579663.4</v>
      </c>
      <c r="G43" s="5">
        <v>627296.4</v>
      </c>
      <c r="H43" s="5">
        <v>952366.99999999988</v>
      </c>
      <c r="I43" s="58">
        <f t="shared" si="0"/>
        <v>236.54339606520611</v>
      </c>
      <c r="J43">
        <v>365</v>
      </c>
      <c r="K43" s="128" t="str">
        <f t="shared" si="3"/>
        <v>-</v>
      </c>
      <c r="L43" s="96">
        <f t="shared" si="4"/>
        <v>952366.99999999988</v>
      </c>
      <c r="M43" s="96">
        <f t="shared" si="5"/>
        <v>531253.28056587954</v>
      </c>
      <c r="N43" s="60"/>
      <c r="O43" s="60">
        <f>IFERROR(INDEX('Revised 2020 MFAM(2020 PYAs)'!U$20:U$269,MATCH(B43,'Revised 2020 MFAM(2020 PYAs)'!B$20:B$269,0)),0)</f>
        <v>-1043.9356214778963</v>
      </c>
      <c r="P43" s="60">
        <f>IFERROR(INDEX('Revised 2020 MFAM(2019 PYAs)'!AF$26:AF$274,MATCH(B43,'Revised 2020 MFAM(2019 PYAs)'!B$26:B$274,0)),0)</f>
        <v>-6.0582599634071812</v>
      </c>
      <c r="Q43" s="60">
        <f t="shared" si="6"/>
        <v>-14.882446912538223</v>
      </c>
      <c r="R43" s="60">
        <f t="shared" si="7"/>
        <v>-1064.8763283538417</v>
      </c>
      <c r="S43" s="60"/>
      <c r="T43" s="108">
        <f t="shared" si="12"/>
        <v>530188.40423752565</v>
      </c>
      <c r="U43" s="109">
        <v>0</v>
      </c>
      <c r="V43" s="110">
        <f t="shared" si="1"/>
        <v>0</v>
      </c>
      <c r="W43" s="60">
        <f t="shared" si="2"/>
        <v>530188.40423752565</v>
      </c>
      <c r="X43" s="62"/>
      <c r="Y43" s="60">
        <f t="shared" si="8"/>
        <v>132547.10105938141</v>
      </c>
      <c r="Z43" s="60">
        <f t="shared" si="9"/>
        <v>132547.10105938141</v>
      </c>
      <c r="AA43" s="60">
        <f t="shared" si="10"/>
        <v>132547.10105938141</v>
      </c>
      <c r="AB43" s="60">
        <f t="shared" si="11"/>
        <v>132547.10105938141</v>
      </c>
    </row>
    <row r="44" spans="2:28" x14ac:dyDescent="0.35">
      <c r="B44">
        <v>601</v>
      </c>
      <c r="C44" s="17">
        <v>4</v>
      </c>
      <c r="D44" s="22" t="s">
        <v>61</v>
      </c>
      <c r="E44" s="90">
        <v>5412.3700000000008</v>
      </c>
      <c r="F44" s="5">
        <v>4416000.53</v>
      </c>
      <c r="G44" s="5">
        <v>1001311.06</v>
      </c>
      <c r="H44" s="5">
        <v>3414689.47</v>
      </c>
      <c r="I44" s="58">
        <f t="shared" si="0"/>
        <v>630.90466283716739</v>
      </c>
      <c r="J44">
        <v>365</v>
      </c>
      <c r="K44" s="128" t="str">
        <f t="shared" si="3"/>
        <v>-</v>
      </c>
      <c r="L44" s="96">
        <f t="shared" si="4"/>
        <v>3414689.4700000007</v>
      </c>
      <c r="M44" s="96">
        <f t="shared" si="5"/>
        <v>1904796.1374672421</v>
      </c>
      <c r="N44" s="60"/>
      <c r="O44" s="60">
        <f>IFERROR(INDEX('Revised 2020 MFAM(2020 PYAs)'!U$20:U$269,MATCH(B44,'Revised 2020 MFAM(2020 PYAs)'!B$20:B$269,0)),0)</f>
        <v>-2337.2434472835157</v>
      </c>
      <c r="P44" s="60">
        <f>IFERROR(INDEX('Revised 2020 MFAM(2019 PYAs)'!AF$26:AF$274,MATCH(B44,'Revised 2020 MFAM(2019 PYAs)'!B$26:B$274,0)),0)</f>
        <v>-13.717519113561139</v>
      </c>
      <c r="Q44" s="60">
        <f t="shared" si="6"/>
        <v>-53.360663231798554</v>
      </c>
      <c r="R44" s="60">
        <f t="shared" si="7"/>
        <v>-2404.3216296288756</v>
      </c>
      <c r="S44" s="60"/>
      <c r="T44" s="108">
        <f t="shared" si="12"/>
        <v>1902391.8158376133</v>
      </c>
      <c r="U44" s="109">
        <v>0</v>
      </c>
      <c r="V44" s="110">
        <f t="shared" si="1"/>
        <v>0</v>
      </c>
      <c r="W44" s="60">
        <f t="shared" si="2"/>
        <v>1902391.8158376133</v>
      </c>
      <c r="X44" s="62"/>
      <c r="Y44" s="60">
        <f t="shared" si="8"/>
        <v>475597.95395940333</v>
      </c>
      <c r="Z44" s="60">
        <f t="shared" si="9"/>
        <v>475597.95395940333</v>
      </c>
      <c r="AA44" s="60">
        <f t="shared" si="10"/>
        <v>475597.95395940333</v>
      </c>
      <c r="AB44" s="60">
        <f t="shared" si="11"/>
        <v>475597.95395940333</v>
      </c>
    </row>
    <row r="45" spans="2:28" x14ac:dyDescent="0.35">
      <c r="B45">
        <v>760</v>
      </c>
      <c r="C45" s="17">
        <v>4</v>
      </c>
      <c r="D45" s="22" t="s">
        <v>62</v>
      </c>
      <c r="E45" s="90">
        <v>4695.5099999999993</v>
      </c>
      <c r="F45" s="5">
        <v>1809682</v>
      </c>
      <c r="G45" s="5">
        <v>1203457.6599999999</v>
      </c>
      <c r="H45" s="5">
        <v>606224.34000000008</v>
      </c>
      <c r="I45" s="58">
        <f t="shared" si="0"/>
        <v>129.10724074701153</v>
      </c>
      <c r="J45">
        <v>181</v>
      </c>
      <c r="K45" s="128">
        <f t="shared" si="3"/>
        <v>45108</v>
      </c>
      <c r="L45" s="96">
        <f t="shared" si="4"/>
        <v>300620.83709589049</v>
      </c>
      <c r="M45" s="96">
        <f t="shared" si="5"/>
        <v>167693.55291988558</v>
      </c>
      <c r="N45" s="60"/>
      <c r="O45" s="60">
        <f>IFERROR(INDEX('Revised 2020 MFAM(2020 PYAs)'!U$20:U$269,MATCH(B45,'Revised 2020 MFAM(2020 PYAs)'!B$20:B$269,0)),0)</f>
        <v>-912.87209847802296</v>
      </c>
      <c r="P45" s="60">
        <f>IFERROR(INDEX('Revised 2020 MFAM(2019 PYAs)'!AF$26:AF$274,MATCH(B45,'Revised 2020 MFAM(2019 PYAs)'!B$26:B$274,0)),0)</f>
        <v>-4.740510530769825</v>
      </c>
      <c r="Q45" s="60">
        <f t="shared" si="6"/>
        <v>-4.6977411532344053</v>
      </c>
      <c r="R45" s="60">
        <f t="shared" si="7"/>
        <v>-922.31035016202725</v>
      </c>
      <c r="S45" s="60"/>
      <c r="T45" s="108">
        <f t="shared" si="12"/>
        <v>166771.24256972354</v>
      </c>
      <c r="U45" s="109">
        <v>0</v>
      </c>
      <c r="V45" s="110">
        <f t="shared" si="1"/>
        <v>0</v>
      </c>
      <c r="W45" s="60">
        <f t="shared" si="2"/>
        <v>166771.24256972354</v>
      </c>
      <c r="X45" s="62"/>
      <c r="Y45" s="60">
        <f t="shared" si="8"/>
        <v>83385.621284861772</v>
      </c>
      <c r="Z45" s="60">
        <f t="shared" si="9"/>
        <v>83385.621284861772</v>
      </c>
      <c r="AA45" s="60">
        <f t="shared" si="10"/>
        <v>0</v>
      </c>
      <c r="AB45" s="60">
        <f t="shared" si="11"/>
        <v>0</v>
      </c>
    </row>
    <row r="46" spans="2:28" x14ac:dyDescent="0.35">
      <c r="B46">
        <v>878</v>
      </c>
      <c r="C46" s="17">
        <v>4</v>
      </c>
      <c r="D46" s="22" t="s">
        <v>63</v>
      </c>
      <c r="E46" s="90">
        <v>7319.6200000000017</v>
      </c>
      <c r="F46" s="5">
        <v>4348788.6900000004</v>
      </c>
      <c r="G46" s="5">
        <v>1317864.46</v>
      </c>
      <c r="H46" s="5">
        <v>3030924.2300000004</v>
      </c>
      <c r="I46" s="58">
        <f t="shared" si="0"/>
        <v>414.08218322809103</v>
      </c>
      <c r="J46">
        <v>365</v>
      </c>
      <c r="K46" s="128" t="str">
        <f t="shared" si="3"/>
        <v>-</v>
      </c>
      <c r="L46" s="96">
        <f t="shared" si="4"/>
        <v>3030924.23</v>
      </c>
      <c r="M46" s="96">
        <f t="shared" si="5"/>
        <v>1690722.6314373687</v>
      </c>
      <c r="N46" s="60"/>
      <c r="O46" s="60">
        <f>IFERROR(INDEX('Revised 2020 MFAM(2020 PYAs)'!U$20:U$269,MATCH(B46,'Revised 2020 MFAM(2020 PYAs)'!B$20:B$269,0)),0)</f>
        <v>-1480.3063445361331</v>
      </c>
      <c r="P46" s="60">
        <f>IFERROR(INDEX('Revised 2020 MFAM(2019 PYAs)'!AF$26:AF$274,MATCH(B46,'Revised 2020 MFAM(2019 PYAs)'!B$26:B$274,0)),0)</f>
        <v>-12.728221736149862</v>
      </c>
      <c r="Q46" s="60">
        <f t="shared" si="6"/>
        <v>-47.363641273690497</v>
      </c>
      <c r="R46" s="60">
        <f t="shared" si="7"/>
        <v>-1540.3982075459735</v>
      </c>
      <c r="S46" s="60"/>
      <c r="T46" s="108">
        <f t="shared" si="12"/>
        <v>1689182.2332298227</v>
      </c>
      <c r="U46" s="109">
        <v>0</v>
      </c>
      <c r="V46" s="110">
        <f t="shared" si="1"/>
        <v>0</v>
      </c>
      <c r="W46" s="60">
        <f t="shared" si="2"/>
        <v>1689182.2332298227</v>
      </c>
      <c r="X46" s="62"/>
      <c r="Y46" s="60">
        <f t="shared" si="8"/>
        <v>422295.55830745568</v>
      </c>
      <c r="Z46" s="60">
        <f t="shared" si="9"/>
        <v>422295.55830745568</v>
      </c>
      <c r="AA46" s="60">
        <f t="shared" si="10"/>
        <v>422295.55830745568</v>
      </c>
      <c r="AB46" s="60">
        <f t="shared" si="11"/>
        <v>422295.55830745568</v>
      </c>
    </row>
    <row r="47" spans="2:28" x14ac:dyDescent="0.35">
      <c r="B47">
        <v>8</v>
      </c>
      <c r="C47" s="17">
        <v>5</v>
      </c>
      <c r="D47" s="22" t="s">
        <v>64</v>
      </c>
      <c r="E47" s="90">
        <v>2253.19</v>
      </c>
      <c r="F47" s="5">
        <v>1042534.49</v>
      </c>
      <c r="G47" s="5">
        <v>403560.81000000006</v>
      </c>
      <c r="H47" s="5">
        <v>638973.67999999993</v>
      </c>
      <c r="I47" s="58">
        <f t="shared" si="0"/>
        <v>283.58623995313309</v>
      </c>
      <c r="J47">
        <v>365</v>
      </c>
      <c r="K47" s="128" t="str">
        <f t="shared" si="3"/>
        <v>-</v>
      </c>
      <c r="L47" s="96">
        <f t="shared" si="4"/>
        <v>638973.67999999993</v>
      </c>
      <c r="M47" s="96">
        <f t="shared" si="5"/>
        <v>356434.92865171988</v>
      </c>
      <c r="N47" s="60"/>
      <c r="O47" s="60">
        <f>IFERROR(INDEX('Revised 2020 MFAM(2020 PYAs)'!U$20:U$269,MATCH(B47,'Revised 2020 MFAM(2020 PYAs)'!B$20:B$269,0)),0)</f>
        <v>-681.33825671940576</v>
      </c>
      <c r="P47" s="60">
        <f>IFERROR(INDEX('Revised 2020 MFAM(2019 PYAs)'!AF$26:AF$274,MATCH(B47,'Revised 2020 MFAM(2019 PYAs)'!B$26:B$274,0)),0)</f>
        <v>-3.6000724541954696</v>
      </c>
      <c r="Q47" s="60">
        <f t="shared" si="6"/>
        <v>-9.9851127465663811</v>
      </c>
      <c r="R47" s="60">
        <f t="shared" si="7"/>
        <v>-694.92344192016765</v>
      </c>
      <c r="S47" s="60"/>
      <c r="T47" s="108">
        <f t="shared" si="12"/>
        <v>355740.00520979968</v>
      </c>
      <c r="U47" s="109">
        <v>0</v>
      </c>
      <c r="V47" s="110">
        <f t="shared" si="1"/>
        <v>0</v>
      </c>
      <c r="W47" s="60">
        <f t="shared" si="2"/>
        <v>355740.00520979968</v>
      </c>
      <c r="X47" s="62"/>
      <c r="Y47" s="60">
        <f t="shared" si="8"/>
        <v>88935.00130244992</v>
      </c>
      <c r="Z47" s="60">
        <f t="shared" si="9"/>
        <v>88935.00130244992</v>
      </c>
      <c r="AA47" s="60">
        <f t="shared" si="10"/>
        <v>88935.00130244992</v>
      </c>
      <c r="AB47" s="60">
        <f t="shared" si="11"/>
        <v>88935.00130244992</v>
      </c>
    </row>
    <row r="48" spans="2:28" x14ac:dyDescent="0.35">
      <c r="B48">
        <v>41</v>
      </c>
      <c r="C48" s="17">
        <v>5</v>
      </c>
      <c r="D48" s="22" t="s">
        <v>65</v>
      </c>
      <c r="E48" s="90">
        <v>1364.9699999999998</v>
      </c>
      <c r="F48" s="5">
        <v>564136.86</v>
      </c>
      <c r="G48" s="5">
        <v>294651.75</v>
      </c>
      <c r="H48" s="5">
        <v>269485.11</v>
      </c>
      <c r="I48" s="58">
        <f t="shared" si="0"/>
        <v>197.42932811710151</v>
      </c>
      <c r="J48">
        <v>181</v>
      </c>
      <c r="K48" s="128">
        <f t="shared" si="3"/>
        <v>45108</v>
      </c>
      <c r="L48" s="96">
        <f t="shared" si="4"/>
        <v>133635.08194520546</v>
      </c>
      <c r="M48" s="96">
        <f t="shared" si="5"/>
        <v>74544.87154855275</v>
      </c>
      <c r="N48" s="60"/>
      <c r="O48" s="60">
        <f>IFERROR(INDEX('Revised 2020 MFAM(2020 PYAs)'!U$20:U$269,MATCH(B48,'Revised 2020 MFAM(2020 PYAs)'!B$20:B$269,0)),0)</f>
        <v>-364.81156428903341</v>
      </c>
      <c r="P48" s="60">
        <f>IFERROR(INDEX('Revised 2020 MFAM(2019 PYAs)'!AF$26:AF$274,MATCH(B48,'Revised 2020 MFAM(2019 PYAs)'!B$26:B$274,0)),0)</f>
        <v>-1.7623898177116644</v>
      </c>
      <c r="Q48" s="60">
        <f t="shared" si="6"/>
        <v>-2.0882884567632174</v>
      </c>
      <c r="R48" s="60">
        <f t="shared" si="7"/>
        <v>-368.6622425635083</v>
      </c>
      <c r="S48" s="60"/>
      <c r="T48" s="108">
        <f t="shared" si="12"/>
        <v>74176.209305989236</v>
      </c>
      <c r="U48" s="109">
        <v>0</v>
      </c>
      <c r="V48" s="110">
        <f t="shared" si="1"/>
        <v>0</v>
      </c>
      <c r="W48" s="60">
        <f t="shared" si="2"/>
        <v>74176.209305989236</v>
      </c>
      <c r="X48" s="62"/>
      <c r="Y48" s="60">
        <f t="shared" si="8"/>
        <v>37088.104652994618</v>
      </c>
      <c r="Z48" s="60">
        <f t="shared" si="9"/>
        <v>37088.104652994618</v>
      </c>
      <c r="AA48" s="60">
        <f t="shared" si="10"/>
        <v>0</v>
      </c>
      <c r="AB48" s="60">
        <f t="shared" si="11"/>
        <v>0</v>
      </c>
    </row>
    <row r="49" spans="2:28" x14ac:dyDescent="0.35">
      <c r="B49">
        <v>56</v>
      </c>
      <c r="C49" s="17">
        <v>5</v>
      </c>
      <c r="D49" s="22" t="s">
        <v>66</v>
      </c>
      <c r="E49" s="90">
        <v>2532.6</v>
      </c>
      <c r="F49" s="5">
        <v>1065130.98</v>
      </c>
      <c r="G49" s="5">
        <v>42700.71</v>
      </c>
      <c r="H49" s="5">
        <v>1022430.27</v>
      </c>
      <c r="I49" s="58">
        <f t="shared" si="0"/>
        <v>403.70775882492302</v>
      </c>
      <c r="J49">
        <v>365</v>
      </c>
      <c r="K49" s="128" t="str">
        <f t="shared" si="3"/>
        <v>-</v>
      </c>
      <c r="L49" s="96">
        <f t="shared" si="4"/>
        <v>1022430.27</v>
      </c>
      <c r="M49" s="96">
        <f t="shared" si="5"/>
        <v>570336.26226796815</v>
      </c>
      <c r="N49" s="60"/>
      <c r="O49" s="60">
        <f>IFERROR(INDEX('Revised 2020 MFAM(2020 PYAs)'!U$20:U$269,MATCH(B49,'Revised 2020 MFAM(2020 PYAs)'!B$20:B$269,0)),0)</f>
        <v>-658.76421486388426</v>
      </c>
      <c r="P49" s="60">
        <f>IFERROR(INDEX('Revised 2020 MFAM(2019 PYAs)'!AF$26:AF$274,MATCH(B49,'Revised 2020 MFAM(2019 PYAs)'!B$26:B$274,0)),0)</f>
        <v>-2.8110206859419122</v>
      </c>
      <c r="Q49" s="60">
        <f t="shared" si="6"/>
        <v>-15.977311493412859</v>
      </c>
      <c r="R49" s="60">
        <f t="shared" si="7"/>
        <v>-677.55254704323909</v>
      </c>
      <c r="S49" s="60"/>
      <c r="T49" s="108">
        <f t="shared" si="12"/>
        <v>569658.70972092496</v>
      </c>
      <c r="U49" s="109">
        <v>0</v>
      </c>
      <c r="V49" s="110">
        <f t="shared" si="1"/>
        <v>0</v>
      </c>
      <c r="W49" s="60">
        <f t="shared" si="2"/>
        <v>569658.70972092496</v>
      </c>
      <c r="X49" s="62"/>
      <c r="Y49" s="60">
        <f t="shared" si="8"/>
        <v>142414.67743023124</v>
      </c>
      <c r="Z49" s="60">
        <f t="shared" si="9"/>
        <v>142414.67743023124</v>
      </c>
      <c r="AA49" s="60">
        <f t="shared" si="10"/>
        <v>142414.67743023124</v>
      </c>
      <c r="AB49" s="60">
        <f t="shared" si="11"/>
        <v>142414.67743023124</v>
      </c>
    </row>
    <row r="50" spans="2:28" x14ac:dyDescent="0.35">
      <c r="B50">
        <v>67</v>
      </c>
      <c r="C50" s="17">
        <v>5</v>
      </c>
      <c r="D50" s="22" t="s">
        <v>67</v>
      </c>
      <c r="E50" s="90">
        <v>1079.777567453717</v>
      </c>
      <c r="F50" s="5">
        <v>217817.45</v>
      </c>
      <c r="G50" s="5">
        <v>0</v>
      </c>
      <c r="H50" s="5">
        <v>217817.45</v>
      </c>
      <c r="I50" s="58">
        <f t="shared" si="0"/>
        <v>201.72437043089101</v>
      </c>
      <c r="J50">
        <v>365</v>
      </c>
      <c r="K50" s="128" t="str">
        <f t="shared" si="3"/>
        <v>-</v>
      </c>
      <c r="L50" s="96">
        <f t="shared" si="4"/>
        <v>217817.45</v>
      </c>
      <c r="M50" s="96">
        <f t="shared" si="5"/>
        <v>121503.82665190462</v>
      </c>
      <c r="N50" s="60"/>
      <c r="O50" s="60">
        <f>IFERROR(INDEX('Revised 2020 MFAM(2020 PYAs)'!U$20:U$269,MATCH(B50,'Revised 2020 MFAM(2020 PYAs)'!B$20:B$269,0)),0)</f>
        <v>-179.63933546279441</v>
      </c>
      <c r="P50" s="60">
        <f>IFERROR(INDEX('Revised 2020 MFAM(2019 PYAs)'!AF$26:AF$274,MATCH(B50,'Revised 2020 MFAM(2019 PYAs)'!B$26:B$274,0)),0)</f>
        <v>0</v>
      </c>
      <c r="Q50" s="60">
        <f t="shared" si="6"/>
        <v>-3.4037893335756579</v>
      </c>
      <c r="R50" s="60">
        <f t="shared" si="7"/>
        <v>-183.04312479637005</v>
      </c>
      <c r="S50" s="60"/>
      <c r="T50" s="108">
        <f t="shared" si="12"/>
        <v>121320.78352710824</v>
      </c>
      <c r="U50" s="109">
        <v>0</v>
      </c>
      <c r="V50" s="110">
        <f t="shared" si="1"/>
        <v>0</v>
      </c>
      <c r="W50" s="60">
        <f t="shared" si="2"/>
        <v>121320.78352710824</v>
      </c>
      <c r="X50" s="62"/>
      <c r="Y50" s="60">
        <f t="shared" si="8"/>
        <v>30330.195881777061</v>
      </c>
      <c r="Z50" s="60">
        <f t="shared" si="9"/>
        <v>30330.195881777061</v>
      </c>
      <c r="AA50" s="60">
        <f t="shared" si="10"/>
        <v>30330.195881777061</v>
      </c>
      <c r="AB50" s="60">
        <f t="shared" si="11"/>
        <v>30330.195881777061</v>
      </c>
    </row>
    <row r="51" spans="2:28" x14ac:dyDescent="0.35">
      <c r="B51">
        <v>157</v>
      </c>
      <c r="C51" s="17">
        <v>5</v>
      </c>
      <c r="D51" s="22" t="s">
        <v>68</v>
      </c>
      <c r="E51" s="90">
        <v>308.36667311590242</v>
      </c>
      <c r="F51" s="5">
        <v>216614.76</v>
      </c>
      <c r="G51" s="5">
        <v>150</v>
      </c>
      <c r="H51" s="5">
        <v>216464.76</v>
      </c>
      <c r="I51" s="58">
        <f t="shared" si="0"/>
        <v>701.97196672624784</v>
      </c>
      <c r="J51">
        <v>365</v>
      </c>
      <c r="K51" s="128" t="str">
        <f t="shared" si="3"/>
        <v>-</v>
      </c>
      <c r="L51" s="96">
        <f t="shared" si="4"/>
        <v>216464.76</v>
      </c>
      <c r="M51" s="96">
        <f t="shared" si="5"/>
        <v>120749.26354746205</v>
      </c>
      <c r="N51" s="60"/>
      <c r="O51" s="60">
        <f>IFERROR(INDEX('Revised 2020 MFAM(2020 PYAs)'!U$20:U$269,MATCH(B51,'Revised 2020 MFAM(2020 PYAs)'!B$20:B$269,0)),0)</f>
        <v>-123.35865997280052</v>
      </c>
      <c r="P51" s="60">
        <f>IFERROR(INDEX('Revised 2020 MFAM(2019 PYAs)'!AF$26:AF$274,MATCH(B51,'Revised 2020 MFAM(2019 PYAs)'!B$26:B$274,0)),0)</f>
        <v>-0.70006817279499955</v>
      </c>
      <c r="Q51" s="60">
        <f t="shared" si="6"/>
        <v>-3.3826511199310012</v>
      </c>
      <c r="R51" s="60">
        <f t="shared" si="7"/>
        <v>-127.44137926552652</v>
      </c>
      <c r="S51" s="60"/>
      <c r="T51" s="108">
        <f t="shared" si="12"/>
        <v>120621.82216819652</v>
      </c>
      <c r="U51" s="109">
        <v>0</v>
      </c>
      <c r="V51" s="110">
        <f t="shared" si="1"/>
        <v>0</v>
      </c>
      <c r="W51" s="60">
        <f t="shared" si="2"/>
        <v>120621.82216819652</v>
      </c>
      <c r="X51" s="62"/>
      <c r="Y51" s="60">
        <f t="shared" si="8"/>
        <v>30155.455542049131</v>
      </c>
      <c r="Z51" s="60">
        <f t="shared" si="9"/>
        <v>30155.455542049131</v>
      </c>
      <c r="AA51" s="60">
        <f t="shared" si="10"/>
        <v>30155.455542049131</v>
      </c>
      <c r="AB51" s="60">
        <f t="shared" si="11"/>
        <v>30155.455542049131</v>
      </c>
    </row>
    <row r="52" spans="2:28" x14ac:dyDescent="0.35">
      <c r="B52">
        <v>214</v>
      </c>
      <c r="C52" s="17">
        <v>5</v>
      </c>
      <c r="D52" s="22" t="s">
        <v>69</v>
      </c>
      <c r="E52" s="90">
        <v>3362.9200000000005</v>
      </c>
      <c r="F52" s="5">
        <v>2030933.93</v>
      </c>
      <c r="G52" s="5">
        <v>891786.46</v>
      </c>
      <c r="H52" s="5">
        <v>1139147.47</v>
      </c>
      <c r="I52" s="58">
        <f t="shared" si="0"/>
        <v>338.73760600906348</v>
      </c>
      <c r="J52">
        <v>365</v>
      </c>
      <c r="K52" s="128" t="str">
        <f t="shared" si="3"/>
        <v>-</v>
      </c>
      <c r="L52" s="96">
        <f t="shared" si="4"/>
        <v>1139147.47</v>
      </c>
      <c r="M52" s="96">
        <f t="shared" si="5"/>
        <v>635443.93126370595</v>
      </c>
      <c r="N52" s="60"/>
      <c r="O52" s="60">
        <f>IFERROR(INDEX('Revised 2020 MFAM(2020 PYAs)'!U$20:U$269,MATCH(B52,'Revised 2020 MFAM(2020 PYAs)'!B$20:B$269,0)),0)</f>
        <v>-1059.3803034730954</v>
      </c>
      <c r="P52" s="60">
        <f>IFERROR(INDEX('Revised 2020 MFAM(2019 PYAs)'!AF$26:AF$274,MATCH(B52,'Revised 2020 MFAM(2019 PYAs)'!B$26:B$274,0)),0)</f>
        <v>-6.7918937167851254</v>
      </c>
      <c r="Q52" s="60">
        <f t="shared" si="6"/>
        <v>-17.801227623203268</v>
      </c>
      <c r="R52" s="60">
        <f t="shared" si="7"/>
        <v>-1083.9734248130837</v>
      </c>
      <c r="S52" s="60"/>
      <c r="T52" s="108">
        <f t="shared" si="12"/>
        <v>634359.95783889282</v>
      </c>
      <c r="U52" s="109">
        <v>0</v>
      </c>
      <c r="V52" s="110">
        <f t="shared" si="1"/>
        <v>0</v>
      </c>
      <c r="W52" s="60">
        <f t="shared" si="2"/>
        <v>634359.95783889282</v>
      </c>
      <c r="X52" s="62"/>
      <c r="Y52" s="60">
        <f t="shared" si="8"/>
        <v>158589.98945972321</v>
      </c>
      <c r="Z52" s="60">
        <f t="shared" si="9"/>
        <v>158589.98945972321</v>
      </c>
      <c r="AA52" s="60">
        <f t="shared" si="10"/>
        <v>158589.98945972321</v>
      </c>
      <c r="AB52" s="60">
        <f t="shared" si="11"/>
        <v>158589.98945972321</v>
      </c>
    </row>
    <row r="53" spans="2:28" x14ac:dyDescent="0.35">
      <c r="B53">
        <v>223</v>
      </c>
      <c r="C53" s="17">
        <v>5</v>
      </c>
      <c r="D53" s="22" t="s">
        <v>70</v>
      </c>
      <c r="E53" s="90">
        <v>294.77000000000004</v>
      </c>
      <c r="F53" s="5">
        <v>211787.34</v>
      </c>
      <c r="G53" s="5">
        <v>2274.1999999999998</v>
      </c>
      <c r="H53" s="5">
        <v>209513.13999999998</v>
      </c>
      <c r="I53" s="58">
        <f t="shared" si="0"/>
        <v>710.76819214981163</v>
      </c>
      <c r="J53">
        <v>365</v>
      </c>
      <c r="K53" s="128" t="str">
        <f t="shared" si="3"/>
        <v>-</v>
      </c>
      <c r="L53" s="96">
        <f t="shared" si="4"/>
        <v>209513.13999999998</v>
      </c>
      <c r="M53" s="96">
        <f t="shared" si="5"/>
        <v>116871.48226120645</v>
      </c>
      <c r="N53" s="60"/>
      <c r="O53" s="60">
        <f>IFERROR(INDEX('Revised 2020 MFAM(2020 PYAs)'!U$20:U$269,MATCH(B53,'Revised 2020 MFAM(2020 PYAs)'!B$20:B$269,0)),0)</f>
        <v>-211.16664331620268</v>
      </c>
      <c r="P53" s="60">
        <f>IFERROR(INDEX('Revised 2020 MFAM(2019 PYAs)'!AF$26:AF$274,MATCH(B53,'Revised 2020 MFAM(2019 PYAs)'!B$26:B$274,0)),0)</f>
        <v>-0.64125723073811969</v>
      </c>
      <c r="Q53" s="60">
        <f t="shared" si="6"/>
        <v>-3.2740195570921595</v>
      </c>
      <c r="R53" s="60">
        <f t="shared" si="7"/>
        <v>-215.08192010403295</v>
      </c>
      <c r="S53" s="60"/>
      <c r="T53" s="108">
        <f t="shared" si="12"/>
        <v>116656.40034110242</v>
      </c>
      <c r="U53" s="109">
        <v>0</v>
      </c>
      <c r="V53" s="110">
        <f t="shared" si="1"/>
        <v>0</v>
      </c>
      <c r="W53" s="60">
        <f t="shared" si="2"/>
        <v>116656.40034110242</v>
      </c>
      <c r="X53" s="62"/>
      <c r="Y53" s="60">
        <f t="shared" si="8"/>
        <v>29164.100085275604</v>
      </c>
      <c r="Z53" s="60">
        <f t="shared" si="9"/>
        <v>29164.100085275604</v>
      </c>
      <c r="AA53" s="60">
        <f t="shared" si="10"/>
        <v>29164.100085275604</v>
      </c>
      <c r="AB53" s="60">
        <f t="shared" si="11"/>
        <v>29164.100085275604</v>
      </c>
    </row>
    <row r="54" spans="2:28" x14ac:dyDescent="0.35">
      <c r="B54">
        <v>224</v>
      </c>
      <c r="C54" s="17">
        <v>5</v>
      </c>
      <c r="D54" s="22" t="s">
        <v>71</v>
      </c>
      <c r="E54" s="90">
        <v>185.9200315345611</v>
      </c>
      <c r="F54" s="5">
        <v>95776.06</v>
      </c>
      <c r="G54" s="5">
        <v>165</v>
      </c>
      <c r="H54" s="5">
        <v>95611.06</v>
      </c>
      <c r="I54" s="58">
        <f t="shared" si="0"/>
        <v>514.25905649239655</v>
      </c>
      <c r="J54">
        <v>365</v>
      </c>
      <c r="K54" s="128" t="str">
        <f t="shared" si="3"/>
        <v>-</v>
      </c>
      <c r="L54" s="96">
        <f t="shared" si="4"/>
        <v>95611.06</v>
      </c>
      <c r="M54" s="96">
        <f t="shared" si="5"/>
        <v>53334.155092922309</v>
      </c>
      <c r="N54" s="60"/>
      <c r="O54" s="60">
        <f>IFERROR(INDEX('Revised 2020 MFAM(2020 PYAs)'!U$20:U$269,MATCH(B54,'Revised 2020 MFAM(2020 PYAs)'!B$20:B$269,0)),0)</f>
        <v>-74.190470478577481</v>
      </c>
      <c r="P54" s="60">
        <f>IFERROR(INDEX('Revised 2020 MFAM(2019 PYAs)'!AF$26:AF$274,MATCH(B54,'Revised 2020 MFAM(2019 PYAs)'!B$26:B$274,0)),0)</f>
        <v>-0.34132000778481597</v>
      </c>
      <c r="Q54" s="60">
        <f t="shared" si="6"/>
        <v>-1.4940947394245145</v>
      </c>
      <c r="R54" s="60">
        <f t="shared" si="7"/>
        <v>-76.025885225786809</v>
      </c>
      <c r="S54" s="60"/>
      <c r="T54" s="108">
        <f t="shared" si="12"/>
        <v>53258.129207696518</v>
      </c>
      <c r="U54" s="109">
        <v>0</v>
      </c>
      <c r="V54" s="110">
        <f t="shared" si="1"/>
        <v>0</v>
      </c>
      <c r="W54" s="60">
        <f t="shared" si="2"/>
        <v>53258.129207696518</v>
      </c>
      <c r="X54" s="62"/>
      <c r="Y54" s="60">
        <f t="shared" si="8"/>
        <v>13314.53230192413</v>
      </c>
      <c r="Z54" s="60">
        <f t="shared" si="9"/>
        <v>13314.53230192413</v>
      </c>
      <c r="AA54" s="60">
        <f t="shared" si="10"/>
        <v>13314.53230192413</v>
      </c>
      <c r="AB54" s="60">
        <f t="shared" si="11"/>
        <v>13314.53230192413</v>
      </c>
    </row>
    <row r="55" spans="2:28" x14ac:dyDescent="0.35">
      <c r="B55">
        <v>233</v>
      </c>
      <c r="C55" s="17">
        <v>5</v>
      </c>
      <c r="D55" s="22" t="s">
        <v>72</v>
      </c>
      <c r="E55" s="90">
        <v>2226.5600000000004</v>
      </c>
      <c r="F55" s="5">
        <v>792133.61</v>
      </c>
      <c r="G55" s="5">
        <v>410686.88</v>
      </c>
      <c r="H55" s="5">
        <v>381446.73</v>
      </c>
      <c r="I55" s="58">
        <f t="shared" si="0"/>
        <v>171.31661846076454</v>
      </c>
      <c r="J55">
        <v>181</v>
      </c>
      <c r="K55" s="128">
        <f t="shared" si="3"/>
        <v>45108</v>
      </c>
      <c r="L55" s="96">
        <f t="shared" si="4"/>
        <v>189155.77569863011</v>
      </c>
      <c r="M55" s="96">
        <f t="shared" si="5"/>
        <v>105515.65350109876</v>
      </c>
      <c r="N55" s="60"/>
      <c r="O55" s="60">
        <f>IFERROR(INDEX('Revised 2020 MFAM(2020 PYAs)'!U$20:U$269,MATCH(B55,'Revised 2020 MFAM(2020 PYAs)'!B$20:B$269,0)),0)</f>
        <v>-505.1932002674439</v>
      </c>
      <c r="P55" s="60">
        <f>IFERROR(INDEX('Revised 2020 MFAM(2019 PYAs)'!AF$26:AF$274,MATCH(B55,'Revised 2020 MFAM(2019 PYAs)'!B$26:B$274,0)),0)</f>
        <v>-2.4647223089705221</v>
      </c>
      <c r="Q55" s="60">
        <f t="shared" si="6"/>
        <v>-2.9558991334588978</v>
      </c>
      <c r="R55" s="60">
        <f t="shared" si="7"/>
        <v>-510.61382170987332</v>
      </c>
      <c r="S55" s="60"/>
      <c r="T55" s="108">
        <f t="shared" si="12"/>
        <v>105005.03967938888</v>
      </c>
      <c r="U55" s="109">
        <v>0</v>
      </c>
      <c r="V55" s="110">
        <f t="shared" si="1"/>
        <v>0</v>
      </c>
      <c r="W55" s="60">
        <f t="shared" si="2"/>
        <v>105005.03967938888</v>
      </c>
      <c r="X55" s="62"/>
      <c r="Y55" s="60">
        <f t="shared" si="8"/>
        <v>52502.51983969444</v>
      </c>
      <c r="Z55" s="60">
        <f t="shared" si="9"/>
        <v>52502.51983969444</v>
      </c>
      <c r="AA55" s="60">
        <f t="shared" si="10"/>
        <v>0</v>
      </c>
      <c r="AB55" s="60">
        <f t="shared" si="11"/>
        <v>0</v>
      </c>
    </row>
    <row r="56" spans="2:28" x14ac:dyDescent="0.35">
      <c r="B56">
        <v>272</v>
      </c>
      <c r="C56" s="17">
        <v>5</v>
      </c>
      <c r="D56" s="22" t="s">
        <v>73</v>
      </c>
      <c r="E56" s="90">
        <v>332.5309054271932</v>
      </c>
      <c r="F56" s="5">
        <v>104478.25</v>
      </c>
      <c r="G56" s="5">
        <v>0</v>
      </c>
      <c r="H56" s="5">
        <v>104478.25</v>
      </c>
      <c r="I56" s="58">
        <f t="shared" si="0"/>
        <v>314.19109711255169</v>
      </c>
      <c r="J56">
        <v>365</v>
      </c>
      <c r="K56" s="128" t="str">
        <f t="shared" si="3"/>
        <v>-</v>
      </c>
      <c r="L56" s="96">
        <f t="shared" si="4"/>
        <v>104478.25</v>
      </c>
      <c r="M56" s="96">
        <f t="shared" si="5"/>
        <v>58280.487522438416</v>
      </c>
      <c r="N56" s="60"/>
      <c r="O56" s="60">
        <f>IFERROR(INDEX('Revised 2020 MFAM(2020 PYAs)'!U$20:U$269,MATCH(B56,'Revised 2020 MFAM(2020 PYAs)'!B$20:B$269,0)),0)</f>
        <v>-88.037839406853891</v>
      </c>
      <c r="P56" s="60">
        <f>IFERROR(INDEX('Revised 2020 MFAM(2019 PYAs)'!AF$26:AF$274,MATCH(B56,'Revised 2020 MFAM(2019 PYAs)'!B$26:B$274,0)),0)</f>
        <v>-0.4170817909980542</v>
      </c>
      <c r="Q56" s="60">
        <f t="shared" si="6"/>
        <v>-1.6326605280736277</v>
      </c>
      <c r="R56" s="60">
        <f t="shared" si="7"/>
        <v>-90.087581725925574</v>
      </c>
      <c r="S56" s="60"/>
      <c r="T56" s="108">
        <f t="shared" si="12"/>
        <v>58190.399940712494</v>
      </c>
      <c r="U56" s="109">
        <v>0</v>
      </c>
      <c r="V56" s="110">
        <f t="shared" si="1"/>
        <v>0</v>
      </c>
      <c r="W56" s="60">
        <f t="shared" si="2"/>
        <v>58190.399940712494</v>
      </c>
      <c r="X56" s="62"/>
      <c r="Y56" s="60">
        <f t="shared" si="8"/>
        <v>14547.599985178123</v>
      </c>
      <c r="Z56" s="60">
        <f t="shared" si="9"/>
        <v>14547.599985178123</v>
      </c>
      <c r="AA56" s="60">
        <f t="shared" si="10"/>
        <v>14547.599985178123</v>
      </c>
      <c r="AB56" s="60">
        <f t="shared" si="11"/>
        <v>14547.599985178123</v>
      </c>
    </row>
    <row r="57" spans="2:28" x14ac:dyDescent="0.35">
      <c r="B57">
        <v>427</v>
      </c>
      <c r="C57" s="17">
        <v>5</v>
      </c>
      <c r="D57" s="22" t="s">
        <v>74</v>
      </c>
      <c r="E57" s="90">
        <v>414.94</v>
      </c>
      <c r="F57" s="5">
        <v>278217.67</v>
      </c>
      <c r="G57" s="5">
        <v>80468.819999999992</v>
      </c>
      <c r="H57" s="5">
        <v>197748.84999999998</v>
      </c>
      <c r="I57" s="58">
        <f t="shared" si="0"/>
        <v>476.57215501036291</v>
      </c>
      <c r="J57">
        <v>181</v>
      </c>
      <c r="K57" s="128">
        <f t="shared" si="3"/>
        <v>45108</v>
      </c>
      <c r="L57" s="96">
        <f t="shared" si="4"/>
        <v>98061.758493150672</v>
      </c>
      <c r="M57" s="96">
        <f t="shared" si="5"/>
        <v>54701.213815204952</v>
      </c>
      <c r="N57" s="60"/>
      <c r="O57" s="60">
        <f>IFERROR(INDEX('Revised 2020 MFAM(2020 PYAs)'!U$20:U$269,MATCH(B57,'Revised 2020 MFAM(2020 PYAs)'!B$20:B$269,0)),0)</f>
        <v>946.34984012749919</v>
      </c>
      <c r="P57" s="60">
        <f>IFERROR(INDEX('Revised 2020 MFAM(2019 PYAs)'!AF$26:AF$274,MATCH(B57,'Revised 2020 MFAM(2019 PYAs)'!B$26:B$274,0)),0)</f>
        <v>-0.78478584122785833</v>
      </c>
      <c r="Q57" s="60">
        <f t="shared" si="6"/>
        <v>-1.5323913102033766</v>
      </c>
      <c r="R57" s="60">
        <f t="shared" si="7"/>
        <v>944.03266297606797</v>
      </c>
      <c r="S57" s="60"/>
      <c r="T57" s="108">
        <f t="shared" si="12"/>
        <v>55645.246478181019</v>
      </c>
      <c r="U57" s="109">
        <v>0</v>
      </c>
      <c r="V57" s="110">
        <f t="shared" si="1"/>
        <v>0</v>
      </c>
      <c r="W57" s="60">
        <f t="shared" si="2"/>
        <v>55645.246478181019</v>
      </c>
      <c r="X57" s="62"/>
      <c r="Y57" s="60">
        <f t="shared" si="8"/>
        <v>27822.62323909051</v>
      </c>
      <c r="Z57" s="60">
        <f t="shared" si="9"/>
        <v>27822.62323909051</v>
      </c>
      <c r="AA57" s="60">
        <f t="shared" si="10"/>
        <v>0</v>
      </c>
      <c r="AB57" s="60">
        <f t="shared" si="11"/>
        <v>0</v>
      </c>
    </row>
    <row r="58" spans="2:28" x14ac:dyDescent="0.35">
      <c r="B58">
        <v>524</v>
      </c>
      <c r="C58" s="17">
        <v>5</v>
      </c>
      <c r="D58" s="22" t="s">
        <v>75</v>
      </c>
      <c r="E58" s="90">
        <v>521.27628266726799</v>
      </c>
      <c r="F58" s="5">
        <v>275808.19</v>
      </c>
      <c r="G58" s="5">
        <v>17687.95</v>
      </c>
      <c r="H58" s="5">
        <v>258120.24</v>
      </c>
      <c r="I58" s="58">
        <f t="shared" si="0"/>
        <v>495.16973739769935</v>
      </c>
      <c r="J58">
        <v>209</v>
      </c>
      <c r="K58" s="128">
        <f t="shared" si="3"/>
        <v>45136</v>
      </c>
      <c r="L58" s="96">
        <f t="shared" si="4"/>
        <v>147800.35660273972</v>
      </c>
      <c r="M58" s="96">
        <f t="shared" si="5"/>
        <v>82446.603372452359</v>
      </c>
      <c r="N58" s="60"/>
      <c r="O58" s="60">
        <f>IFERROR(INDEX('Revised 2020 MFAM(2020 PYAs)'!U$20:U$269,MATCH(B58,'Revised 2020 MFAM(2020 PYAs)'!B$20:B$269,0)),0)</f>
        <v>-270.97730991724529</v>
      </c>
      <c r="P58" s="60">
        <f>IFERROR(INDEX('Revised 2020 MFAM(2019 PYAs)'!AF$26:AF$274,MATCH(B58,'Revised 2020 MFAM(2019 PYAs)'!B$26:B$274,0)),0)</f>
        <v>-1.1013727415120229</v>
      </c>
      <c r="Q58" s="60">
        <f t="shared" si="6"/>
        <v>-2.309646345153173</v>
      </c>
      <c r="R58" s="60">
        <f t="shared" si="7"/>
        <v>-274.38832900391048</v>
      </c>
      <c r="S58" s="60"/>
      <c r="T58" s="108">
        <f t="shared" si="12"/>
        <v>82172.21504344845</v>
      </c>
      <c r="U58" s="109">
        <v>0</v>
      </c>
      <c r="V58" s="110">
        <f t="shared" si="1"/>
        <v>0</v>
      </c>
      <c r="W58" s="60">
        <f t="shared" si="2"/>
        <v>82172.21504344845</v>
      </c>
      <c r="X58" s="62"/>
      <c r="Y58" s="60">
        <f t="shared" si="8"/>
        <v>41086.107521724225</v>
      </c>
      <c r="Z58" s="60">
        <f t="shared" si="9"/>
        <v>41086.107521724225</v>
      </c>
      <c r="AA58" s="60">
        <f t="shared" si="10"/>
        <v>0</v>
      </c>
      <c r="AB58" s="60">
        <f t="shared" si="11"/>
        <v>0</v>
      </c>
    </row>
    <row r="59" spans="2:28" x14ac:dyDescent="0.35">
      <c r="B59">
        <v>565</v>
      </c>
      <c r="C59" s="17">
        <v>5</v>
      </c>
      <c r="D59" s="22" t="s">
        <v>76</v>
      </c>
      <c r="E59" s="90">
        <v>465.13789190988808</v>
      </c>
      <c r="F59" s="5">
        <v>278883.09000000003</v>
      </c>
      <c r="G59" s="5">
        <v>16633.559999999998</v>
      </c>
      <c r="H59" s="5">
        <v>262249.53000000003</v>
      </c>
      <c r="I59" s="58">
        <f t="shared" si="0"/>
        <v>563.81029058541219</v>
      </c>
      <c r="J59">
        <v>209</v>
      </c>
      <c r="K59" s="128">
        <f t="shared" si="3"/>
        <v>45136</v>
      </c>
      <c r="L59" s="96">
        <f t="shared" si="4"/>
        <v>150164.79936986303</v>
      </c>
      <c r="M59" s="96">
        <f t="shared" si="5"/>
        <v>83765.54657055196</v>
      </c>
      <c r="N59" s="60"/>
      <c r="O59" s="60">
        <f>IFERROR(INDEX('Revised 2020 MFAM(2020 PYAs)'!U$20:U$269,MATCH(B59,'Revised 2020 MFAM(2020 PYAs)'!B$20:B$269,0)),0)</f>
        <v>-295.48578870983329</v>
      </c>
      <c r="P59" s="60">
        <f>IFERROR(INDEX('Revised 2020 MFAM(2019 PYAs)'!AF$26:AF$274,MATCH(B59,'Revised 2020 MFAM(2019 PYAs)'!B$26:B$274,0)),0)</f>
        <v>-0.86165362389874645</v>
      </c>
      <c r="Q59" s="60">
        <f t="shared" si="6"/>
        <v>-2.3465950151086084</v>
      </c>
      <c r="R59" s="60">
        <f t="shared" si="7"/>
        <v>-298.69403734884065</v>
      </c>
      <c r="S59" s="60"/>
      <c r="T59" s="108">
        <f t="shared" si="12"/>
        <v>83466.852533203113</v>
      </c>
      <c r="U59" s="109">
        <v>0</v>
      </c>
      <c r="V59" s="110">
        <f t="shared" si="1"/>
        <v>0</v>
      </c>
      <c r="W59" s="60">
        <f t="shared" si="2"/>
        <v>83466.852533203113</v>
      </c>
      <c r="X59" s="62"/>
      <c r="Y59" s="60">
        <f t="shared" si="8"/>
        <v>41733.426266601557</v>
      </c>
      <c r="Z59" s="60">
        <f t="shared" si="9"/>
        <v>41733.426266601557</v>
      </c>
      <c r="AA59" s="60">
        <f t="shared" si="10"/>
        <v>0</v>
      </c>
      <c r="AB59" s="60">
        <f t="shared" si="11"/>
        <v>0</v>
      </c>
    </row>
    <row r="60" spans="2:28" x14ac:dyDescent="0.35">
      <c r="B60">
        <v>613</v>
      </c>
      <c r="C60" s="17">
        <v>5</v>
      </c>
      <c r="D60" s="22" t="s">
        <v>77</v>
      </c>
      <c r="E60" s="90">
        <v>163.01016309637433</v>
      </c>
      <c r="F60" s="5">
        <v>103983.35</v>
      </c>
      <c r="G60" s="5">
        <v>0</v>
      </c>
      <c r="H60" s="5">
        <v>103983.35</v>
      </c>
      <c r="I60" s="58">
        <f t="shared" si="0"/>
        <v>637.89488964883321</v>
      </c>
      <c r="J60">
        <v>365</v>
      </c>
      <c r="K60" s="128" t="str">
        <f t="shared" si="3"/>
        <v>-</v>
      </c>
      <c r="L60" s="96">
        <f t="shared" si="4"/>
        <v>103983.35</v>
      </c>
      <c r="M60" s="96">
        <f t="shared" si="5"/>
        <v>58004.420367074934</v>
      </c>
      <c r="N60" s="60"/>
      <c r="O60" s="60">
        <f>IFERROR(INDEX('Revised 2020 MFAM(2020 PYAs)'!U$20:U$269,MATCH(B60,'Revised 2020 MFAM(2020 PYAs)'!B$20:B$269,0)),0)</f>
        <v>-97.355944166112749</v>
      </c>
      <c r="P60" s="60">
        <f>IFERROR(INDEX('Revised 2020 MFAM(2019 PYAs)'!AF$26:AF$274,MATCH(B60,'Revised 2020 MFAM(2019 PYAs)'!B$26:B$274,0)),0)</f>
        <v>-0.28748813845595578</v>
      </c>
      <c r="Q60" s="60">
        <f t="shared" si="6"/>
        <v>-1.6249268256490212</v>
      </c>
      <c r="R60" s="60">
        <f t="shared" si="7"/>
        <v>-99.268359130217732</v>
      </c>
      <c r="S60" s="60"/>
      <c r="T60" s="108">
        <f t="shared" si="12"/>
        <v>57905.152007944715</v>
      </c>
      <c r="U60" s="109">
        <v>0</v>
      </c>
      <c r="V60" s="110">
        <f t="shared" si="1"/>
        <v>0</v>
      </c>
      <c r="W60" s="60">
        <f t="shared" si="2"/>
        <v>57905.152007944715</v>
      </c>
      <c r="X60" s="62"/>
      <c r="Y60" s="60">
        <f t="shared" si="8"/>
        <v>14476.288001986179</v>
      </c>
      <c r="Z60" s="60">
        <f t="shared" si="9"/>
        <v>14476.288001986179</v>
      </c>
      <c r="AA60" s="60">
        <f t="shared" si="10"/>
        <v>14476.288001986179</v>
      </c>
      <c r="AB60" s="60">
        <f t="shared" si="11"/>
        <v>14476.288001986179</v>
      </c>
    </row>
    <row r="61" spans="2:28" x14ac:dyDescent="0.35">
      <c r="B61">
        <v>696</v>
      </c>
      <c r="C61" s="17">
        <v>5</v>
      </c>
      <c r="D61" s="22" t="s">
        <v>78</v>
      </c>
      <c r="E61" s="90">
        <v>298.5</v>
      </c>
      <c r="F61" s="5">
        <v>119025.41</v>
      </c>
      <c r="G61" s="5">
        <v>209.12</v>
      </c>
      <c r="H61" s="5">
        <v>118816.29000000001</v>
      </c>
      <c r="I61" s="58">
        <f t="shared" si="0"/>
        <v>398.04452261306534</v>
      </c>
      <c r="J61">
        <v>273</v>
      </c>
      <c r="K61" s="128">
        <f t="shared" si="3"/>
        <v>45200</v>
      </c>
      <c r="L61" s="96">
        <f t="shared" si="4"/>
        <v>88868.074438356169</v>
      </c>
      <c r="M61" s="96">
        <f t="shared" si="5"/>
        <v>49572.755127959601</v>
      </c>
      <c r="N61" s="60"/>
      <c r="O61" s="60">
        <f>IFERROR(INDEX('Revised 2020 MFAM(2020 PYAs)'!U$20:U$269,MATCH(B61,'Revised 2020 MFAM(2020 PYAs)'!B$20:B$269,0)),0)</f>
        <v>-96.611924269382143</v>
      </c>
      <c r="P61" s="60">
        <f>IFERROR(INDEX('Revised 2020 MFAM(2019 PYAs)'!AF$26:AF$274,MATCH(B61,'Revised 2020 MFAM(2019 PYAs)'!B$26:B$274,0)),0)</f>
        <v>-0.56197631019313121</v>
      </c>
      <c r="Q61" s="60">
        <f t="shared" si="6"/>
        <v>-1.3887234648495075</v>
      </c>
      <c r="R61" s="60">
        <f t="shared" si="7"/>
        <v>-98.56262404442478</v>
      </c>
      <c r="S61" s="60"/>
      <c r="T61" s="108">
        <f t="shared" si="12"/>
        <v>49474.192503915176</v>
      </c>
      <c r="U61" s="109">
        <v>0</v>
      </c>
      <c r="V61" s="110">
        <f t="shared" si="1"/>
        <v>0</v>
      </c>
      <c r="W61" s="60">
        <f t="shared" si="2"/>
        <v>49474.192503915176</v>
      </c>
      <c r="X61" s="62"/>
      <c r="Y61" s="60">
        <f t="shared" si="8"/>
        <v>16491.397501305059</v>
      </c>
      <c r="Z61" s="60">
        <f t="shared" si="9"/>
        <v>16491.397501305059</v>
      </c>
      <c r="AA61" s="60">
        <f t="shared" si="10"/>
        <v>16491.397501305059</v>
      </c>
      <c r="AB61" s="60">
        <f t="shared" si="11"/>
        <v>0</v>
      </c>
    </row>
    <row r="62" spans="2:28" x14ac:dyDescent="0.35">
      <c r="B62">
        <v>731</v>
      </c>
      <c r="C62" s="17">
        <v>5</v>
      </c>
      <c r="D62" s="22" t="s">
        <v>79</v>
      </c>
      <c r="E62" s="90">
        <v>741.31104744107472</v>
      </c>
      <c r="F62" s="5">
        <v>572177.31999999995</v>
      </c>
      <c r="G62" s="5">
        <v>0</v>
      </c>
      <c r="H62" s="5">
        <v>572177.31999999995</v>
      </c>
      <c r="I62" s="58">
        <f t="shared" si="0"/>
        <v>771.84512759535141</v>
      </c>
      <c r="J62">
        <v>181</v>
      </c>
      <c r="K62" s="128">
        <f t="shared" si="3"/>
        <v>45108</v>
      </c>
      <c r="L62" s="96">
        <f t="shared" si="4"/>
        <v>283737.24635616434</v>
      </c>
      <c r="M62" s="96">
        <f t="shared" si="5"/>
        <v>158275.47882847837</v>
      </c>
      <c r="N62" s="60"/>
      <c r="O62" s="60">
        <f>IFERROR(INDEX('Revised 2020 MFAM(2020 PYAs)'!U$20:U$269,MATCH(B62,'Revised 2020 MFAM(2020 PYAs)'!B$20:B$269,0)),0)</f>
        <v>-104.12205714985612</v>
      </c>
      <c r="P62" s="60">
        <f>IFERROR(INDEX('Revised 2020 MFAM(2019 PYAs)'!AF$26:AF$274,MATCH(B62,'Revised 2020 MFAM(2019 PYAs)'!B$26:B$274,0)),0)</f>
        <v>-1.0552554062451236</v>
      </c>
      <c r="Q62" s="60">
        <f t="shared" si="6"/>
        <v>-4.4339046880093447</v>
      </c>
      <c r="R62" s="60">
        <f t="shared" si="7"/>
        <v>-109.61121724411059</v>
      </c>
      <c r="S62" s="60"/>
      <c r="T62" s="108">
        <f t="shared" si="12"/>
        <v>158165.86761123425</v>
      </c>
      <c r="U62" s="109">
        <v>0</v>
      </c>
      <c r="V62" s="110">
        <f t="shared" si="1"/>
        <v>0</v>
      </c>
      <c r="W62" s="60">
        <f t="shared" si="2"/>
        <v>158165.86761123425</v>
      </c>
      <c r="X62" s="62"/>
      <c r="Y62" s="60">
        <f t="shared" si="8"/>
        <v>79082.933805617125</v>
      </c>
      <c r="Z62" s="60">
        <f t="shared" si="9"/>
        <v>79082.933805617125</v>
      </c>
      <c r="AA62" s="60">
        <f t="shared" si="10"/>
        <v>0</v>
      </c>
      <c r="AB62" s="60">
        <f t="shared" si="11"/>
        <v>0</v>
      </c>
    </row>
    <row r="63" spans="2:28" x14ac:dyDescent="0.35">
      <c r="B63">
        <v>732</v>
      </c>
      <c r="C63" s="17">
        <v>5</v>
      </c>
      <c r="D63" s="22" t="s">
        <v>80</v>
      </c>
      <c r="E63" s="90">
        <v>216.59265528507484</v>
      </c>
      <c r="F63" s="5">
        <v>96611.83</v>
      </c>
      <c r="G63" s="5">
        <v>0</v>
      </c>
      <c r="H63" s="5">
        <v>96611.83</v>
      </c>
      <c r="I63" s="58">
        <f t="shared" si="0"/>
        <v>446.05312157442035</v>
      </c>
      <c r="J63">
        <v>364</v>
      </c>
      <c r="K63" s="128">
        <f t="shared" si="3"/>
        <v>45291</v>
      </c>
      <c r="L63" s="96">
        <f t="shared" si="4"/>
        <v>96347.140054794509</v>
      </c>
      <c r="M63" s="96">
        <f t="shared" si="5"/>
        <v>53744.758299321416</v>
      </c>
      <c r="N63" s="60"/>
      <c r="O63" s="60">
        <f>IFERROR(INDEX('Revised 2020 MFAM(2020 PYAs)'!U$20:U$269,MATCH(B63,'Revised 2020 MFAM(2020 PYAs)'!B$20:B$269,0)),0)</f>
        <v>-75.42445710314496</v>
      </c>
      <c r="P63" s="60">
        <f>IFERROR(INDEX('Revised 2020 MFAM(2019 PYAs)'!AF$26:AF$274,MATCH(B63,'Revised 2020 MFAM(2019 PYAs)'!B$26:B$274,0)),0)</f>
        <v>-0.31790736799302977</v>
      </c>
      <c r="Q63" s="60">
        <f t="shared" si="6"/>
        <v>-1.5055973138930312</v>
      </c>
      <c r="R63" s="60">
        <f t="shared" si="7"/>
        <v>-77.247961785031023</v>
      </c>
      <c r="S63" s="60"/>
      <c r="T63" s="108">
        <f t="shared" si="12"/>
        <v>53667.510337536383</v>
      </c>
      <c r="U63" s="109">
        <v>0</v>
      </c>
      <c r="V63" s="110">
        <f t="shared" si="1"/>
        <v>0</v>
      </c>
      <c r="W63" s="60">
        <f t="shared" si="2"/>
        <v>53667.510337536383</v>
      </c>
      <c r="X63" s="62"/>
      <c r="Y63" s="60">
        <f t="shared" si="8"/>
        <v>13416.877584384096</v>
      </c>
      <c r="Z63" s="60">
        <f t="shared" si="9"/>
        <v>13416.877584384096</v>
      </c>
      <c r="AA63" s="60">
        <f t="shared" si="10"/>
        <v>13416.877584384096</v>
      </c>
      <c r="AB63" s="60">
        <f t="shared" si="11"/>
        <v>13416.877584384096</v>
      </c>
    </row>
    <row r="64" spans="2:28" x14ac:dyDescent="0.35">
      <c r="B64">
        <v>754</v>
      </c>
      <c r="C64" s="17">
        <v>5</v>
      </c>
      <c r="D64" s="22" t="s">
        <v>81</v>
      </c>
      <c r="E64" s="90">
        <v>104.5553398350951</v>
      </c>
      <c r="F64" s="5">
        <v>37739.360000000001</v>
      </c>
      <c r="G64" s="5">
        <v>0</v>
      </c>
      <c r="H64" s="5">
        <v>37739.360000000001</v>
      </c>
      <c r="I64" s="58">
        <f t="shared" si="0"/>
        <v>360.95105290196176</v>
      </c>
      <c r="J64">
        <v>365</v>
      </c>
      <c r="K64" s="128" t="str">
        <f t="shared" si="3"/>
        <v>-</v>
      </c>
      <c r="L64" s="96">
        <f t="shared" si="4"/>
        <v>37739.360000000001</v>
      </c>
      <c r="M64" s="96">
        <f t="shared" si="5"/>
        <v>21051.925157483125</v>
      </c>
      <c r="N64" s="60"/>
      <c r="O64" s="60">
        <f>IFERROR(INDEX('Revised 2020 MFAM(2020 PYAs)'!U$20:U$269,MATCH(B64,'Revised 2020 MFAM(2020 PYAs)'!B$20:B$269,0)),0)</f>
        <v>-29.880975922140351</v>
      </c>
      <c r="P64" s="60">
        <f>IFERROR(INDEX('Revised 2020 MFAM(2019 PYAs)'!AF$26:AF$274,MATCH(B64,'Revised 2020 MFAM(2019 PYAs)'!B$26:B$274,0)),0)</f>
        <v>-0.14405380598873307</v>
      </c>
      <c r="Q64" s="60">
        <f t="shared" si="6"/>
        <v>-0.58974536256838861</v>
      </c>
      <c r="R64" s="60">
        <f t="shared" si="7"/>
        <v>-30.614775090697474</v>
      </c>
      <c r="S64" s="60"/>
      <c r="T64" s="108">
        <f t="shared" si="12"/>
        <v>21021.310382392428</v>
      </c>
      <c r="U64" s="109">
        <v>0</v>
      </c>
      <c r="V64" s="110">
        <f t="shared" si="1"/>
        <v>0</v>
      </c>
      <c r="W64" s="60">
        <f t="shared" si="2"/>
        <v>21021.310382392428</v>
      </c>
      <c r="X64" s="62"/>
      <c r="Y64" s="60">
        <f t="shared" si="8"/>
        <v>5255.3275955981071</v>
      </c>
      <c r="Z64" s="60">
        <f t="shared" si="9"/>
        <v>5255.3275955981071</v>
      </c>
      <c r="AA64" s="60">
        <f t="shared" si="10"/>
        <v>5255.3275955981071</v>
      </c>
      <c r="AB64" s="60">
        <f t="shared" si="11"/>
        <v>5255.3275955981071</v>
      </c>
    </row>
    <row r="65" spans="2:28" x14ac:dyDescent="0.35">
      <c r="B65">
        <v>885</v>
      </c>
      <c r="C65" s="17">
        <v>5</v>
      </c>
      <c r="D65" s="22" t="s">
        <v>82</v>
      </c>
      <c r="E65" s="90">
        <v>364.76</v>
      </c>
      <c r="F65" s="5">
        <v>237630.63</v>
      </c>
      <c r="G65" s="5">
        <v>111689.82999999997</v>
      </c>
      <c r="H65" s="5">
        <v>125940.80000000003</v>
      </c>
      <c r="I65" s="58">
        <f t="shared" si="0"/>
        <v>345.27031472749212</v>
      </c>
      <c r="J65">
        <v>365</v>
      </c>
      <c r="K65" s="128" t="str">
        <f t="shared" si="3"/>
        <v>-</v>
      </c>
      <c r="L65" s="96">
        <f t="shared" si="4"/>
        <v>125940.80000000005</v>
      </c>
      <c r="M65" s="96">
        <f t="shared" si="5"/>
        <v>70252.815518693271</v>
      </c>
      <c r="N65" s="60"/>
      <c r="O65" s="60">
        <f>IFERROR(INDEX('Revised 2020 MFAM(2020 PYAs)'!U$20:U$269,MATCH(B65,'Revised 2020 MFAM(2020 PYAs)'!B$20:B$269,0)),0)</f>
        <v>776.65068112611334</v>
      </c>
      <c r="P65" s="60">
        <f>IFERROR(INDEX('Revised 2020 MFAM(2019 PYAs)'!AF$26:AF$274,MATCH(B65,'Revised 2020 MFAM(2019 PYAs)'!B$26:B$274,0)),0)</f>
        <v>-0.64356416591908783</v>
      </c>
      <c r="Q65" s="60">
        <f t="shared" si="6"/>
        <v>-1.9680514655826953</v>
      </c>
      <c r="R65" s="60">
        <f t="shared" si="7"/>
        <v>774.03906549461158</v>
      </c>
      <c r="S65" s="60"/>
      <c r="T65" s="108">
        <f t="shared" si="12"/>
        <v>71026.85458418788</v>
      </c>
      <c r="U65" s="109">
        <v>0</v>
      </c>
      <c r="V65" s="110">
        <f t="shared" si="1"/>
        <v>0</v>
      </c>
      <c r="W65" s="60">
        <f t="shared" si="2"/>
        <v>71026.85458418788</v>
      </c>
      <c r="X65" s="62"/>
      <c r="Y65" s="60">
        <f t="shared" si="8"/>
        <v>17756.71364604697</v>
      </c>
      <c r="Z65" s="60">
        <f t="shared" si="9"/>
        <v>17756.71364604697</v>
      </c>
      <c r="AA65" s="60">
        <f t="shared" si="10"/>
        <v>17756.71364604697</v>
      </c>
      <c r="AB65" s="60">
        <f t="shared" si="11"/>
        <v>17756.71364604697</v>
      </c>
    </row>
    <row r="66" spans="2:28" x14ac:dyDescent="0.35">
      <c r="B66">
        <v>909</v>
      </c>
      <c r="C66" s="17">
        <v>5</v>
      </c>
      <c r="D66" s="22" t="s">
        <v>83</v>
      </c>
      <c r="E66" s="90">
        <v>500.03000000000003</v>
      </c>
      <c r="F66" s="5">
        <v>187854.7</v>
      </c>
      <c r="G66" s="5">
        <v>90</v>
      </c>
      <c r="H66" s="5">
        <v>187764.7</v>
      </c>
      <c r="I66" s="58">
        <f t="shared" si="0"/>
        <v>375.50686958782472</v>
      </c>
      <c r="J66">
        <v>181</v>
      </c>
      <c r="K66" s="128">
        <f t="shared" si="3"/>
        <v>45108</v>
      </c>
      <c r="L66" s="96">
        <f t="shared" si="4"/>
        <v>93110.714246575357</v>
      </c>
      <c r="M66" s="96">
        <f t="shared" si="5"/>
        <v>51939.401931529901</v>
      </c>
      <c r="N66" s="60"/>
      <c r="O66" s="60">
        <f>IFERROR(INDEX('Revised 2020 MFAM(2020 PYAs)'!U$20:U$269,MATCH(B66,'Revised 2020 MFAM(2020 PYAs)'!B$20:B$269,0)),0)</f>
        <v>-59.668110653947224</v>
      </c>
      <c r="P66" s="60">
        <f>IFERROR(INDEX('Revised 2020 MFAM(2019 PYAs)'!AF$26:AF$274,MATCH(B66,'Revised 2020 MFAM(2019 PYAs)'!B$26:B$274,0)),0)</f>
        <v>-0.92370743466017302</v>
      </c>
      <c r="Q66" s="60">
        <f t="shared" si="6"/>
        <v>-1.4550223409286276</v>
      </c>
      <c r="R66" s="60">
        <f t="shared" si="7"/>
        <v>-62.046840429536026</v>
      </c>
      <c r="S66" s="60"/>
      <c r="T66" s="108">
        <f t="shared" si="12"/>
        <v>51877.355091100362</v>
      </c>
      <c r="U66" s="109">
        <v>0</v>
      </c>
      <c r="V66" s="110">
        <f t="shared" si="1"/>
        <v>0</v>
      </c>
      <c r="W66" s="60">
        <f t="shared" si="2"/>
        <v>51877.355091100362</v>
      </c>
      <c r="X66" s="62"/>
      <c r="Y66" s="60">
        <f t="shared" si="8"/>
        <v>25938.677545550181</v>
      </c>
      <c r="Z66" s="60">
        <f t="shared" si="9"/>
        <v>25938.677545550181</v>
      </c>
      <c r="AA66" s="60">
        <f t="shared" si="10"/>
        <v>0</v>
      </c>
      <c r="AB66" s="60">
        <f t="shared" si="11"/>
        <v>0</v>
      </c>
    </row>
    <row r="67" spans="2:28" x14ac:dyDescent="0.35">
      <c r="B67">
        <v>923</v>
      </c>
      <c r="C67" s="17">
        <v>5</v>
      </c>
      <c r="D67" s="22" t="s">
        <v>84</v>
      </c>
      <c r="E67" s="90">
        <v>104.46</v>
      </c>
      <c r="F67" s="5">
        <v>34098.89</v>
      </c>
      <c r="G67" s="5">
        <v>129.30000000000001</v>
      </c>
      <c r="H67" s="5">
        <v>33969.589999999997</v>
      </c>
      <c r="I67" s="58">
        <f t="shared" si="0"/>
        <v>325.19232242006507</v>
      </c>
      <c r="J67">
        <v>365</v>
      </c>
      <c r="K67" s="128" t="str">
        <f t="shared" si="3"/>
        <v>-</v>
      </c>
      <c r="L67" s="96">
        <f t="shared" si="4"/>
        <v>33969.589999999997</v>
      </c>
      <c r="M67" s="96">
        <f t="shared" si="5"/>
        <v>18949.056537005057</v>
      </c>
      <c r="N67" s="60"/>
      <c r="O67" s="60">
        <f>IFERROR(INDEX('Revised 2020 MFAM(2020 PYAs)'!U$20:U$269,MATCH(B67,'Revised 2020 MFAM(2020 PYAs)'!B$20:B$269,0)),0)</f>
        <v>-27.429029967714087</v>
      </c>
      <c r="P67" s="60">
        <f>IFERROR(INDEX('Revised 2020 MFAM(2019 PYAs)'!AF$26:AF$274,MATCH(B67,'Revised 2020 MFAM(2019 PYAs)'!B$26:B$274,0)),0)</f>
        <v>-0.10329147707489028</v>
      </c>
      <c r="Q67" s="60">
        <f t="shared" si="6"/>
        <v>-0.5308359275528125</v>
      </c>
      <c r="R67" s="60">
        <f t="shared" si="7"/>
        <v>-28.063157372341788</v>
      </c>
      <c r="S67" s="60"/>
      <c r="T67" s="108">
        <f t="shared" si="12"/>
        <v>18920.993379632717</v>
      </c>
      <c r="U67" s="109">
        <v>0</v>
      </c>
      <c r="V67" s="110">
        <f t="shared" si="1"/>
        <v>0</v>
      </c>
      <c r="W67" s="60">
        <f t="shared" si="2"/>
        <v>18920.993379632717</v>
      </c>
      <c r="X67" s="62"/>
      <c r="Y67" s="60">
        <f t="shared" si="8"/>
        <v>4730.2483449081792</v>
      </c>
      <c r="Z67" s="60">
        <f t="shared" si="9"/>
        <v>4730.2483449081792</v>
      </c>
      <c r="AA67" s="60">
        <f t="shared" si="10"/>
        <v>4730.2483449081792</v>
      </c>
      <c r="AB67" s="60">
        <f t="shared" si="11"/>
        <v>4730.2483449081792</v>
      </c>
    </row>
    <row r="68" spans="2:28" x14ac:dyDescent="0.35">
      <c r="B68">
        <v>394</v>
      </c>
      <c r="C68" s="17">
        <v>6</v>
      </c>
      <c r="D68" s="22" t="s">
        <v>85</v>
      </c>
      <c r="E68" s="90">
        <v>470.35</v>
      </c>
      <c r="F68" s="5">
        <v>442711.86</v>
      </c>
      <c r="G68" s="5">
        <v>36858.269999999997</v>
      </c>
      <c r="H68" s="5">
        <v>405853.58999999997</v>
      </c>
      <c r="I68" s="58">
        <f t="shared" si="0"/>
        <v>862.87570957797379</v>
      </c>
      <c r="J68">
        <v>365</v>
      </c>
      <c r="K68" s="128" t="str">
        <f t="shared" si="3"/>
        <v>-</v>
      </c>
      <c r="L68" s="96">
        <f t="shared" si="4"/>
        <v>405853.58999999997</v>
      </c>
      <c r="M68" s="96">
        <f t="shared" si="5"/>
        <v>226394.92035836965</v>
      </c>
      <c r="N68" s="60"/>
      <c r="O68" s="60">
        <f>IFERROR(INDEX('Revised 2020 MFAM(2020 PYAs)'!U$20:U$269,MATCH(B68,'Revised 2020 MFAM(2020 PYAs)'!B$20:B$269,0)),0)</f>
        <v>-333.29924812051468</v>
      </c>
      <c r="P68" s="60">
        <f>IFERROR(INDEX('Revised 2020 MFAM(2019 PYAs)'!AF$26:AF$274,MATCH(B68,'Revised 2020 MFAM(2019 PYAs)'!B$26:B$274,0)),0)</f>
        <v>-1.867303057864774</v>
      </c>
      <c r="Q68" s="60">
        <f t="shared" si="6"/>
        <v>-6.3421921459248942</v>
      </c>
      <c r="R68" s="60">
        <f t="shared" si="7"/>
        <v>-341.50874332430436</v>
      </c>
      <c r="S68" s="60"/>
      <c r="T68" s="108">
        <f t="shared" si="12"/>
        <v>226053.41161504533</v>
      </c>
      <c r="U68" s="109">
        <v>0</v>
      </c>
      <c r="V68" s="110">
        <f t="shared" si="1"/>
        <v>0</v>
      </c>
      <c r="W68" s="60">
        <f t="shared" si="2"/>
        <v>226053.41161504533</v>
      </c>
      <c r="X68" s="62"/>
      <c r="Y68" s="60">
        <f t="shared" si="8"/>
        <v>56513.352903761333</v>
      </c>
      <c r="Z68" s="60">
        <f t="shared" si="9"/>
        <v>56513.352903761333</v>
      </c>
      <c r="AA68" s="60">
        <f t="shared" si="10"/>
        <v>56513.352903761333</v>
      </c>
      <c r="AB68" s="60">
        <f t="shared" si="11"/>
        <v>56513.352903761333</v>
      </c>
    </row>
    <row r="69" spans="2:28" x14ac:dyDescent="0.35">
      <c r="B69">
        <v>414</v>
      </c>
      <c r="C69" s="17">
        <v>6</v>
      </c>
      <c r="D69" s="22" t="s">
        <v>86</v>
      </c>
      <c r="E69" s="90">
        <v>162.98314649640224</v>
      </c>
      <c r="F69" s="5">
        <v>235003.79</v>
      </c>
      <c r="G69" s="5">
        <v>10880.91</v>
      </c>
      <c r="H69" s="5">
        <v>224122.88</v>
      </c>
      <c r="I69" s="58">
        <f t="shared" si="0"/>
        <v>1375.1291763467543</v>
      </c>
      <c r="J69">
        <v>365</v>
      </c>
      <c r="K69" s="128" t="str">
        <f t="shared" si="3"/>
        <v>-</v>
      </c>
      <c r="L69" s="96">
        <f t="shared" si="4"/>
        <v>224122.88</v>
      </c>
      <c r="M69" s="96">
        <f t="shared" si="5"/>
        <v>125021.14757217854</v>
      </c>
      <c r="N69" s="60"/>
      <c r="O69" s="60">
        <f>IFERROR(INDEX('Revised 2020 MFAM(2020 PYAs)'!U$20:U$269,MATCH(B69,'Revised 2020 MFAM(2020 PYAs)'!B$20:B$269,0)),0)</f>
        <v>-178.16356682368496</v>
      </c>
      <c r="P69" s="60">
        <f>IFERROR(INDEX('Revised 2020 MFAM(2019 PYAs)'!AF$26:AF$274,MATCH(B69,'Revised 2020 MFAM(2019 PYAs)'!B$26:B$274,0)),0)</f>
        <v>-0.95922977109148633</v>
      </c>
      <c r="Q69" s="60">
        <f t="shared" si="6"/>
        <v>-3.5023230156916134</v>
      </c>
      <c r="R69" s="60">
        <f t="shared" si="7"/>
        <v>-182.62511961046806</v>
      </c>
      <c r="S69" s="60"/>
      <c r="T69" s="108">
        <f t="shared" si="12"/>
        <v>124838.52245256807</v>
      </c>
      <c r="U69" s="109">
        <v>0</v>
      </c>
      <c r="V69" s="110">
        <f t="shared" si="1"/>
        <v>0</v>
      </c>
      <c r="W69" s="60">
        <f t="shared" si="2"/>
        <v>124838.52245256807</v>
      </c>
      <c r="X69" s="62"/>
      <c r="Y69" s="60">
        <f t="shared" si="8"/>
        <v>31209.630613142017</v>
      </c>
      <c r="Z69" s="60">
        <f t="shared" si="9"/>
        <v>31209.630613142017</v>
      </c>
      <c r="AA69" s="60">
        <f t="shared" si="10"/>
        <v>31209.630613142017</v>
      </c>
      <c r="AB69" s="60">
        <f t="shared" si="11"/>
        <v>31209.630613142017</v>
      </c>
    </row>
    <row r="70" spans="2:28" x14ac:dyDescent="0.35">
      <c r="B70">
        <v>426</v>
      </c>
      <c r="C70" s="17">
        <v>6</v>
      </c>
      <c r="D70" s="22" t="s">
        <v>87</v>
      </c>
      <c r="E70" s="90">
        <v>378.22780118593562</v>
      </c>
      <c r="F70" s="5">
        <v>220452.09</v>
      </c>
      <c r="G70" s="5">
        <v>0</v>
      </c>
      <c r="H70" s="5">
        <v>220452.09</v>
      </c>
      <c r="I70" s="58">
        <f t="shared" si="0"/>
        <v>582.8553303294234</v>
      </c>
      <c r="J70">
        <v>365</v>
      </c>
      <c r="K70" s="128" t="str">
        <f t="shared" si="3"/>
        <v>-</v>
      </c>
      <c r="L70" s="96">
        <f t="shared" si="4"/>
        <v>220452.09</v>
      </c>
      <c r="M70" s="96">
        <f t="shared" si="5"/>
        <v>122973.49238277317</v>
      </c>
      <c r="N70" s="60"/>
      <c r="O70" s="60">
        <f>IFERROR(INDEX('Revised 2020 MFAM(2020 PYAs)'!U$20:U$269,MATCH(B70,'Revised 2020 MFAM(2020 PYAs)'!B$20:B$269,0)),0)</f>
        <v>-153.22985513559252</v>
      </c>
      <c r="P70" s="60">
        <f>IFERROR(INDEX('Revised 2020 MFAM(2019 PYAs)'!AF$26:AF$274,MATCH(B70,'Revised 2020 MFAM(2019 PYAs)'!B$26:B$274,0)),0)</f>
        <v>-0.80903191439574584</v>
      </c>
      <c r="Q70" s="60">
        <f t="shared" si="6"/>
        <v>-3.4449603211609587</v>
      </c>
      <c r="R70" s="60">
        <f t="shared" si="7"/>
        <v>-157.48384737114921</v>
      </c>
      <c r="S70" s="60"/>
      <c r="T70" s="108">
        <f t="shared" si="12"/>
        <v>122816.00853540203</v>
      </c>
      <c r="U70" s="109">
        <v>0</v>
      </c>
      <c r="V70" s="110">
        <f t="shared" si="1"/>
        <v>0</v>
      </c>
      <c r="W70" s="60">
        <f t="shared" si="2"/>
        <v>122816.00853540203</v>
      </c>
      <c r="X70" s="62"/>
      <c r="Y70" s="60">
        <f t="shared" si="8"/>
        <v>30704.002133850507</v>
      </c>
      <c r="Z70" s="60">
        <f t="shared" si="9"/>
        <v>30704.002133850507</v>
      </c>
      <c r="AA70" s="60">
        <f t="shared" si="10"/>
        <v>30704.002133850507</v>
      </c>
      <c r="AB70" s="60">
        <f t="shared" si="11"/>
        <v>30704.002133850507</v>
      </c>
    </row>
    <row r="71" spans="2:28" x14ac:dyDescent="0.35">
      <c r="B71">
        <v>430</v>
      </c>
      <c r="C71" s="17">
        <v>6</v>
      </c>
      <c r="D71" s="22" t="s">
        <v>88</v>
      </c>
      <c r="E71" s="90">
        <v>2365.2538032626444</v>
      </c>
      <c r="F71" s="5">
        <v>1804896.57</v>
      </c>
      <c r="G71" s="5">
        <v>1180</v>
      </c>
      <c r="H71" s="5">
        <v>1803716.57</v>
      </c>
      <c r="I71" s="58">
        <f t="shared" si="0"/>
        <v>762.58901582229498</v>
      </c>
      <c r="J71">
        <v>365</v>
      </c>
      <c r="K71" s="128" t="str">
        <f t="shared" si="3"/>
        <v>-</v>
      </c>
      <c r="L71" s="96">
        <f t="shared" si="4"/>
        <v>1803716.5700000003</v>
      </c>
      <c r="M71" s="96">
        <f t="shared" si="5"/>
        <v>1006156.602468939</v>
      </c>
      <c r="N71" s="60"/>
      <c r="O71" s="60">
        <f>IFERROR(INDEX('Revised 2020 MFAM(2020 PYAs)'!U$20:U$269,MATCH(B71,'Revised 2020 MFAM(2020 PYAs)'!B$20:B$269,0)),0)</f>
        <v>-1478.0782462438801</v>
      </c>
      <c r="P71" s="60">
        <f>IFERROR(INDEX('Revised 2020 MFAM(2019 PYAs)'!AF$26:AF$274,MATCH(B71,'Revised 2020 MFAM(2019 PYAs)'!B$26:B$274,0)),0)</f>
        <v>-7.8842941800830886</v>
      </c>
      <c r="Q71" s="60">
        <f t="shared" si="6"/>
        <v>-28.186314832717365</v>
      </c>
      <c r="R71" s="60">
        <f t="shared" si="7"/>
        <v>-1514.1488552566807</v>
      </c>
      <c r="S71" s="60"/>
      <c r="T71" s="108">
        <f t="shared" si="12"/>
        <v>1004642.4536136823</v>
      </c>
      <c r="U71" s="109">
        <v>0</v>
      </c>
      <c r="V71" s="110">
        <f t="shared" si="1"/>
        <v>0</v>
      </c>
      <c r="W71" s="60">
        <f t="shared" si="2"/>
        <v>1004642.4536136823</v>
      </c>
      <c r="X71" s="62"/>
      <c r="Y71" s="60">
        <f t="shared" si="8"/>
        <v>251160.61340342058</v>
      </c>
      <c r="Z71" s="60">
        <f t="shared" si="9"/>
        <v>251160.61340342058</v>
      </c>
      <c r="AA71" s="60">
        <f t="shared" si="10"/>
        <v>251160.61340342058</v>
      </c>
      <c r="AB71" s="60">
        <f t="shared" si="11"/>
        <v>251160.61340342058</v>
      </c>
    </row>
    <row r="72" spans="2:28" x14ac:dyDescent="0.35">
      <c r="B72">
        <v>443</v>
      </c>
      <c r="C72" s="17">
        <v>6</v>
      </c>
      <c r="D72" s="22" t="s">
        <v>89</v>
      </c>
      <c r="E72" s="90">
        <v>13.61</v>
      </c>
      <c r="F72" s="5">
        <v>17081.009999999998</v>
      </c>
      <c r="G72" s="5">
        <v>0</v>
      </c>
      <c r="H72" s="5">
        <v>17081.009999999998</v>
      </c>
      <c r="I72" s="58">
        <f t="shared" si="0"/>
        <v>1255.033798677443</v>
      </c>
      <c r="J72">
        <v>365</v>
      </c>
      <c r="K72" s="128" t="str">
        <f t="shared" si="3"/>
        <v>-</v>
      </c>
      <c r="L72" s="96">
        <f t="shared" si="4"/>
        <v>17081.009999999998</v>
      </c>
      <c r="M72" s="96">
        <f t="shared" si="5"/>
        <v>9528.1993158925015</v>
      </c>
      <c r="N72" s="60"/>
      <c r="O72" s="60">
        <f>IFERROR(INDEX('Revised 2020 MFAM(2020 PYAs)'!U$20:U$269,MATCH(B72,'Revised 2020 MFAM(2020 PYAs)'!B$20:B$269,0)),0)</f>
        <v>-13.009708534838865</v>
      </c>
      <c r="P72" s="60">
        <f>IFERROR(INDEX('Revised 2020 MFAM(2019 PYAs)'!AF$26:AF$274,MATCH(B72,'Revised 2020 MFAM(2019 PYAs)'!B$26:B$274,0)),0)</f>
        <v>-6.8268681372501305E-2</v>
      </c>
      <c r="Q72" s="60">
        <f t="shared" si="6"/>
        <v>-0.26692149616433009</v>
      </c>
      <c r="R72" s="60">
        <f t="shared" si="7"/>
        <v>-13.344898712375697</v>
      </c>
      <c r="S72" s="60"/>
      <c r="T72" s="108">
        <f t="shared" si="12"/>
        <v>9514.8544171801259</v>
      </c>
      <c r="U72" s="109">
        <v>0</v>
      </c>
      <c r="V72" s="110">
        <f t="shared" si="1"/>
        <v>0</v>
      </c>
      <c r="W72" s="60">
        <f t="shared" si="2"/>
        <v>9514.8544171801259</v>
      </c>
      <c r="X72" s="62"/>
      <c r="Y72" s="60">
        <f t="shared" si="8"/>
        <v>2378.7136042950315</v>
      </c>
      <c r="Z72" s="60">
        <f t="shared" si="9"/>
        <v>2378.7136042950315</v>
      </c>
      <c r="AA72" s="60">
        <f t="shared" si="10"/>
        <v>2378.7136042950315</v>
      </c>
      <c r="AB72" s="60">
        <f t="shared" si="11"/>
        <v>2378.7136042950315</v>
      </c>
    </row>
    <row r="73" spans="2:28" x14ac:dyDescent="0.35">
      <c r="B73">
        <v>562</v>
      </c>
      <c r="C73" s="17">
        <v>6</v>
      </c>
      <c r="D73" s="22" t="s">
        <v>90</v>
      </c>
      <c r="E73" s="90">
        <v>27.028749556405973</v>
      </c>
      <c r="F73" s="5">
        <v>39061.46</v>
      </c>
      <c r="G73" s="5">
        <v>0</v>
      </c>
      <c r="H73" s="5">
        <v>39061.46</v>
      </c>
      <c r="I73" s="58">
        <f t="shared" si="0"/>
        <v>1445.1819133727629</v>
      </c>
      <c r="J73">
        <v>181</v>
      </c>
      <c r="K73" s="128">
        <f t="shared" si="3"/>
        <v>45108</v>
      </c>
      <c r="L73" s="96">
        <f t="shared" si="4"/>
        <v>19370.203452054793</v>
      </c>
      <c r="M73" s="96">
        <f t="shared" si="5"/>
        <v>10805.166631280414</v>
      </c>
      <c r="N73" s="60"/>
      <c r="O73" s="60">
        <f>IFERROR(INDEX('Revised 2020 MFAM(2020 PYAs)'!U$20:U$269,MATCH(B73,'Revised 2020 MFAM(2020 PYAs)'!B$20:B$269,0)),0)</f>
        <v>-38.385905062797974</v>
      </c>
      <c r="P73" s="60">
        <f>IFERROR(INDEX('Revised 2020 MFAM(2019 PYAs)'!AF$26:AF$274,MATCH(B73,'Revised 2020 MFAM(2019 PYAs)'!B$26:B$274,0)),0)</f>
        <v>-0.21642361720660119</v>
      </c>
      <c r="Q73" s="60">
        <f t="shared" si="6"/>
        <v>-0.30269426025919638</v>
      </c>
      <c r="R73" s="60">
        <f t="shared" si="7"/>
        <v>-38.90502294026377</v>
      </c>
      <c r="S73" s="60"/>
      <c r="T73" s="108">
        <f t="shared" si="12"/>
        <v>10766.26160834015</v>
      </c>
      <c r="U73" s="109">
        <v>0</v>
      </c>
      <c r="V73" s="110">
        <f t="shared" si="1"/>
        <v>0</v>
      </c>
      <c r="W73" s="60">
        <f t="shared" si="2"/>
        <v>10766.26160834015</v>
      </c>
      <c r="X73" s="62"/>
      <c r="Y73" s="60">
        <f t="shared" si="8"/>
        <v>5383.130804170075</v>
      </c>
      <c r="Z73" s="60">
        <f t="shared" si="9"/>
        <v>5383.130804170075</v>
      </c>
      <c r="AA73" s="60">
        <f t="shared" si="10"/>
        <v>0</v>
      </c>
      <c r="AB73" s="60">
        <f t="shared" si="11"/>
        <v>0</v>
      </c>
    </row>
    <row r="74" spans="2:28" x14ac:dyDescent="0.35">
      <c r="B74">
        <v>603</v>
      </c>
      <c r="C74" s="17">
        <v>6</v>
      </c>
      <c r="D74" s="22" t="s">
        <v>91</v>
      </c>
      <c r="E74" s="90">
        <v>102.0991281586101</v>
      </c>
      <c r="F74" s="5">
        <v>98144.56</v>
      </c>
      <c r="G74" s="5">
        <v>0</v>
      </c>
      <c r="H74" s="5">
        <v>98144.56</v>
      </c>
      <c r="I74" s="58">
        <f t="shared" si="0"/>
        <v>961.26736603992629</v>
      </c>
      <c r="J74">
        <v>365</v>
      </c>
      <c r="K74" s="128" t="str">
        <f t="shared" si="3"/>
        <v>-</v>
      </c>
      <c r="L74" s="96">
        <f t="shared" si="4"/>
        <v>98144.56</v>
      </c>
      <c r="M74" s="96">
        <f t="shared" si="5"/>
        <v>54747.402492626054</v>
      </c>
      <c r="N74" s="60"/>
      <c r="O74" s="60">
        <f>IFERROR(INDEX('Revised 2020 MFAM(2020 PYAs)'!U$20:U$269,MATCH(B74,'Revised 2020 MFAM(2020 PYAs)'!B$20:B$269,0)),0)</f>
        <v>-71.796354291102034</v>
      </c>
      <c r="P74" s="60">
        <f>IFERROR(INDEX('Revised 2020 MFAM(2019 PYAs)'!AF$26:AF$274,MATCH(B74,'Revised 2020 MFAM(2019 PYAs)'!B$26:B$274,0)),0)</f>
        <v>-0.36775961207240471</v>
      </c>
      <c r="Q74" s="60">
        <f t="shared" si="6"/>
        <v>-1.5336852326408017</v>
      </c>
      <c r="R74" s="60">
        <f t="shared" si="7"/>
        <v>-73.697799135815245</v>
      </c>
      <c r="S74" s="60"/>
      <c r="T74" s="108">
        <f t="shared" si="12"/>
        <v>54673.704693490239</v>
      </c>
      <c r="U74" s="109">
        <v>0</v>
      </c>
      <c r="V74" s="110">
        <f t="shared" si="1"/>
        <v>0</v>
      </c>
      <c r="W74" s="60">
        <f t="shared" si="2"/>
        <v>54673.704693490239</v>
      </c>
      <c r="X74" s="62"/>
      <c r="Y74" s="60">
        <f t="shared" si="8"/>
        <v>13668.42617337256</v>
      </c>
      <c r="Z74" s="60">
        <f t="shared" si="9"/>
        <v>13668.42617337256</v>
      </c>
      <c r="AA74" s="60">
        <f t="shared" si="10"/>
        <v>13668.42617337256</v>
      </c>
      <c r="AB74" s="60">
        <f t="shared" si="11"/>
        <v>13668.42617337256</v>
      </c>
    </row>
    <row r="75" spans="2:28" x14ac:dyDescent="0.35">
      <c r="B75">
        <v>618</v>
      </c>
      <c r="C75" s="17">
        <v>6</v>
      </c>
      <c r="D75" s="22" t="s">
        <v>92</v>
      </c>
      <c r="E75" s="90">
        <v>20.91808745945508</v>
      </c>
      <c r="F75" s="5">
        <v>15334.76</v>
      </c>
      <c r="G75" s="5">
        <v>0</v>
      </c>
      <c r="H75" s="5">
        <v>15334.76</v>
      </c>
      <c r="I75" s="58">
        <f t="shared" si="0"/>
        <v>733.08614039036399</v>
      </c>
      <c r="J75">
        <v>365</v>
      </c>
      <c r="K75" s="128" t="str">
        <f t="shared" si="3"/>
        <v>-</v>
      </c>
      <c r="L75" s="96">
        <f t="shared" si="4"/>
        <v>15334.76</v>
      </c>
      <c r="M75" s="96">
        <f t="shared" si="5"/>
        <v>8554.098952074597</v>
      </c>
      <c r="N75" s="60"/>
      <c r="O75" s="60">
        <f>IFERROR(INDEX('Revised 2020 MFAM(2020 PYAs)'!U$20:U$269,MATCH(B75,'Revised 2020 MFAM(2020 PYAs)'!B$20:B$269,0)),0)</f>
        <v>-14.493967530575901</v>
      </c>
      <c r="P75" s="60">
        <f>IFERROR(INDEX('Revised 2020 MFAM(2019 PYAs)'!AF$26:AF$274,MATCH(B75,'Revised 2020 MFAM(2019 PYAs)'!B$26:B$274,0)),0)</f>
        <v>-7.2794700066879159E-2</v>
      </c>
      <c r="Q75" s="60">
        <f t="shared" si="6"/>
        <v>-0.23963319982371784</v>
      </c>
      <c r="R75" s="60">
        <f t="shared" si="7"/>
        <v>-14.806395430466498</v>
      </c>
      <c r="S75" s="60"/>
      <c r="T75" s="108">
        <f t="shared" si="12"/>
        <v>8539.2925566441299</v>
      </c>
      <c r="U75" s="109">
        <v>0</v>
      </c>
      <c r="V75" s="110">
        <f t="shared" si="1"/>
        <v>0</v>
      </c>
      <c r="W75" s="60">
        <f t="shared" si="2"/>
        <v>8539.2925566441299</v>
      </c>
      <c r="X75" s="62"/>
      <c r="Y75" s="60">
        <f t="shared" si="8"/>
        <v>2134.8231391610325</v>
      </c>
      <c r="Z75" s="60">
        <f t="shared" si="9"/>
        <v>2134.8231391610325</v>
      </c>
      <c r="AA75" s="60">
        <f t="shared" si="10"/>
        <v>2134.8231391610325</v>
      </c>
      <c r="AB75" s="60">
        <f t="shared" si="11"/>
        <v>2134.8231391610325</v>
      </c>
    </row>
    <row r="76" spans="2:28" x14ac:dyDescent="0.35">
      <c r="B76">
        <v>620</v>
      </c>
      <c r="C76" s="17">
        <v>6</v>
      </c>
      <c r="D76" s="22" t="s">
        <v>93</v>
      </c>
      <c r="E76" s="90">
        <v>217.13044977838732</v>
      </c>
      <c r="F76" s="5">
        <v>149105.72</v>
      </c>
      <c r="G76" s="5">
        <v>0</v>
      </c>
      <c r="H76" s="5">
        <v>149105.72</v>
      </c>
      <c r="I76" s="58">
        <f t="shared" si="0"/>
        <v>686.71031701073582</v>
      </c>
      <c r="J76">
        <v>365</v>
      </c>
      <c r="K76" s="128" t="str">
        <f t="shared" si="3"/>
        <v>-</v>
      </c>
      <c r="L76" s="96">
        <f t="shared" si="4"/>
        <v>149105.72</v>
      </c>
      <c r="M76" s="96">
        <f t="shared" si="5"/>
        <v>83174.76655652441</v>
      </c>
      <c r="N76" s="60"/>
      <c r="O76" s="60">
        <f>IFERROR(INDEX('Revised 2020 MFAM(2020 PYAs)'!U$20:U$269,MATCH(B76,'Revised 2020 MFAM(2020 PYAs)'!B$20:B$269,0)),0)</f>
        <v>-104.61948946925986</v>
      </c>
      <c r="P76" s="60">
        <f>IFERROR(INDEX('Revised 2020 MFAM(2019 PYAs)'!AF$26:AF$274,MATCH(B76,'Revised 2020 MFAM(2019 PYAs)'!B$26:B$274,0)),0)</f>
        <v>-0.54792510950937867</v>
      </c>
      <c r="Q76" s="60">
        <f t="shared" si="6"/>
        <v>-2.3300449955277629</v>
      </c>
      <c r="R76" s="60">
        <f t="shared" si="7"/>
        <v>-107.497459574297</v>
      </c>
      <c r="S76" s="60"/>
      <c r="T76" s="108">
        <f t="shared" si="12"/>
        <v>83067.269096950113</v>
      </c>
      <c r="U76" s="109">
        <v>0</v>
      </c>
      <c r="V76" s="110">
        <f t="shared" si="1"/>
        <v>0</v>
      </c>
      <c r="W76" s="60">
        <f t="shared" si="2"/>
        <v>83067.269096950113</v>
      </c>
      <c r="X76" s="62"/>
      <c r="Y76" s="60">
        <f t="shared" si="8"/>
        <v>20766.817274237528</v>
      </c>
      <c r="Z76" s="60">
        <f t="shared" si="9"/>
        <v>20766.817274237528</v>
      </c>
      <c r="AA76" s="60">
        <f t="shared" si="10"/>
        <v>20766.817274237528</v>
      </c>
      <c r="AB76" s="60">
        <f t="shared" si="11"/>
        <v>20766.817274237528</v>
      </c>
    </row>
    <row r="77" spans="2:28" x14ac:dyDescent="0.35">
      <c r="B77">
        <v>622</v>
      </c>
      <c r="C77" s="17">
        <v>6</v>
      </c>
      <c r="D77" s="22" t="s">
        <v>94</v>
      </c>
      <c r="E77" s="90">
        <v>121.45476787490654</v>
      </c>
      <c r="F77" s="5">
        <v>110559.72</v>
      </c>
      <c r="G77" s="5">
        <v>48</v>
      </c>
      <c r="H77" s="5">
        <v>110511.72</v>
      </c>
      <c r="I77" s="58">
        <f t="shared" ref="I77:I140" si="13">IFERROR(H77/E77,"n.a.")</f>
        <v>909.90021992238769</v>
      </c>
      <c r="J77">
        <v>365</v>
      </c>
      <c r="K77" s="128" t="str">
        <f t="shared" si="3"/>
        <v>-</v>
      </c>
      <c r="L77" s="96">
        <f t="shared" si="4"/>
        <v>110511.71999999999</v>
      </c>
      <c r="M77" s="96">
        <f t="shared" si="5"/>
        <v>61646.102595929842</v>
      </c>
      <c r="N77" s="60"/>
      <c r="O77" s="60">
        <f>IFERROR(INDEX('Revised 2020 MFAM(2020 PYAs)'!U$20:U$269,MATCH(B77,'Revised 2020 MFAM(2020 PYAs)'!B$20:B$269,0)),0)</f>
        <v>-87.29819208488334</v>
      </c>
      <c r="P77" s="60">
        <f>IFERROR(INDEX('Revised 2020 MFAM(2019 PYAs)'!AF$26:AF$274,MATCH(B77,'Revised 2020 MFAM(2019 PYAs)'!B$26:B$274,0)),0)</f>
        <v>-0.35220717400807189</v>
      </c>
      <c r="Q77" s="60">
        <f t="shared" si="6"/>
        <v>-1.726944346153624</v>
      </c>
      <c r="R77" s="60">
        <f t="shared" si="7"/>
        <v>-89.377343605045041</v>
      </c>
      <c r="S77" s="60"/>
      <c r="T77" s="108">
        <f t="shared" si="12"/>
        <v>61556.725252324795</v>
      </c>
      <c r="U77" s="109">
        <v>0</v>
      </c>
      <c r="V77" s="110">
        <f t="shared" ref="V77:V140" si="14">-$U$11*U77*T77</f>
        <v>0</v>
      </c>
      <c r="W77" s="60">
        <f t="shared" ref="W77:W140" si="15">T77+V77</f>
        <v>61556.725252324795</v>
      </c>
      <c r="X77" s="62"/>
      <c r="Y77" s="60">
        <f t="shared" si="8"/>
        <v>15389.181313081199</v>
      </c>
      <c r="Z77" s="60">
        <f t="shared" si="9"/>
        <v>15389.181313081199</v>
      </c>
      <c r="AA77" s="60">
        <f t="shared" si="10"/>
        <v>15389.181313081199</v>
      </c>
      <c r="AB77" s="60">
        <f t="shared" si="11"/>
        <v>15389.181313081199</v>
      </c>
    </row>
    <row r="78" spans="2:28" x14ac:dyDescent="0.35">
      <c r="B78">
        <v>623</v>
      </c>
      <c r="C78" s="17">
        <v>6</v>
      </c>
      <c r="D78" s="22" t="s">
        <v>95</v>
      </c>
      <c r="E78" s="90">
        <v>250.85033656810455</v>
      </c>
      <c r="F78" s="5">
        <v>81786.11</v>
      </c>
      <c r="G78" s="5">
        <v>0</v>
      </c>
      <c r="H78" s="5">
        <v>81786.11</v>
      </c>
      <c r="I78" s="58">
        <f t="shared" si="13"/>
        <v>326.03548043394989</v>
      </c>
      <c r="J78">
        <v>365</v>
      </c>
      <c r="K78" s="128" t="str">
        <f t="shared" ref="K78:K141" si="16">IF(J78=365,"-",J78+$Y$9)</f>
        <v>-</v>
      </c>
      <c r="L78" s="96">
        <f t="shared" ref="L78:L141" si="17">H78*J78/365</f>
        <v>81786.11</v>
      </c>
      <c r="M78" s="96">
        <f t="shared" ref="M78:M141" si="18">L78*(E$8/L$11)</f>
        <v>45622.264570508938</v>
      </c>
      <c r="N78" s="60"/>
      <c r="O78" s="60">
        <f>IFERROR(INDEX('Revised 2020 MFAM(2020 PYAs)'!U$20:U$269,MATCH(B78,'Revised 2020 MFAM(2020 PYAs)'!B$20:B$269,0)),0)</f>
        <v>-67.221030142834934</v>
      </c>
      <c r="P78" s="60">
        <f>IFERROR(INDEX('Revised 2020 MFAM(2019 PYAs)'!AF$26:AF$274,MATCH(B78,'Revised 2020 MFAM(2019 PYAs)'!B$26:B$274,0)),0)</f>
        <v>-0.33685749151482014</v>
      </c>
      <c r="Q78" s="60">
        <f t="shared" ref="Q78:Q141" si="19">-Q$9*(M78/E$8)</f>
        <v>-1.278055035777186</v>
      </c>
      <c r="R78" s="60">
        <f t="shared" ref="R78:R141" si="20">SUM(O78:Q78)</f>
        <v>-68.83594267012694</v>
      </c>
      <c r="S78" s="60"/>
      <c r="T78" s="108">
        <f t="shared" si="12"/>
        <v>45553.42862783881</v>
      </c>
      <c r="U78" s="109">
        <v>0</v>
      </c>
      <c r="V78" s="110">
        <f t="shared" si="14"/>
        <v>0</v>
      </c>
      <c r="W78" s="60">
        <f t="shared" si="15"/>
        <v>45553.42862783881</v>
      </c>
      <c r="X78" s="62"/>
      <c r="Y78" s="60">
        <f t="shared" ref="Y78:Y141" si="21">IF(J78&gt;AB$10,W78/4,
IF(J78&gt;AA$10,W78/3,
IF(J78&gt;Z$10,W78/2,
W78)))</f>
        <v>11388.357156959702</v>
      </c>
      <c r="Z78" s="60">
        <f t="shared" ref="Z78:Z141" si="22">IF(J78&gt;AB$10,W78/4,
IF(J78&gt;AA$10,W78/3,
IF(J78&gt;Z$10,W78/2,0)))</f>
        <v>11388.357156959702</v>
      </c>
      <c r="AA78" s="60">
        <f t="shared" ref="AA78:AA141" si="23">IF(J78&gt;AB$10,W78/4,
IF(J78&gt;AA$10,W78/3,0))</f>
        <v>11388.357156959702</v>
      </c>
      <c r="AB78" s="60">
        <f t="shared" ref="AB78:AB141" si="24">IF(J78&gt;AB$10,W78/4,0)</f>
        <v>11388.357156959702</v>
      </c>
    </row>
    <row r="79" spans="2:28" x14ac:dyDescent="0.35">
      <c r="B79">
        <v>626</v>
      </c>
      <c r="C79" s="17">
        <v>6</v>
      </c>
      <c r="D79" s="22" t="s">
        <v>96</v>
      </c>
      <c r="E79" s="90">
        <v>23.585494585157402</v>
      </c>
      <c r="F79" s="5">
        <v>18524.8</v>
      </c>
      <c r="G79" s="5">
        <v>0</v>
      </c>
      <c r="H79" s="5">
        <v>18524.8</v>
      </c>
      <c r="I79" s="58">
        <f t="shared" si="13"/>
        <v>785.43190744271476</v>
      </c>
      <c r="J79">
        <v>365</v>
      </c>
      <c r="K79" s="128" t="str">
        <f t="shared" si="16"/>
        <v>-</v>
      </c>
      <c r="L79" s="96">
        <f t="shared" si="17"/>
        <v>18524.8</v>
      </c>
      <c r="M79" s="96">
        <f t="shared" si="18"/>
        <v>10333.580197368037</v>
      </c>
      <c r="N79" s="60"/>
      <c r="O79" s="60">
        <f>IFERROR(INDEX('Revised 2020 MFAM(2020 PYAs)'!U$20:U$269,MATCH(B79,'Revised 2020 MFAM(2020 PYAs)'!B$20:B$269,0)),0)</f>
        <v>-15.311811612455131</v>
      </c>
      <c r="P79" s="60">
        <f>IFERROR(INDEX('Revised 2020 MFAM(2019 PYAs)'!AF$26:AF$274,MATCH(B79,'Revised 2020 MFAM(2019 PYAs)'!B$26:B$274,0)),0)</f>
        <v>-7.3650505204568617E-2</v>
      </c>
      <c r="Q79" s="60">
        <f t="shared" si="19"/>
        <v>-0.28948331112416548</v>
      </c>
      <c r="R79" s="60">
        <f t="shared" si="20"/>
        <v>-15.674945428783865</v>
      </c>
      <c r="S79" s="60"/>
      <c r="T79" s="108">
        <f t="shared" si="12"/>
        <v>10317.905251939254</v>
      </c>
      <c r="U79" s="109">
        <v>0</v>
      </c>
      <c r="V79" s="110">
        <f t="shared" si="14"/>
        <v>0</v>
      </c>
      <c r="W79" s="60">
        <f t="shared" si="15"/>
        <v>10317.905251939254</v>
      </c>
      <c r="X79" s="62"/>
      <c r="Y79" s="60">
        <f t="shared" si="21"/>
        <v>2579.4763129848134</v>
      </c>
      <c r="Z79" s="60">
        <f t="shared" si="22"/>
        <v>2579.4763129848134</v>
      </c>
      <c r="AA79" s="60">
        <f t="shared" si="23"/>
        <v>2579.4763129848134</v>
      </c>
      <c r="AB79" s="60">
        <f t="shared" si="24"/>
        <v>2579.4763129848134</v>
      </c>
    </row>
    <row r="80" spans="2:28" x14ac:dyDescent="0.35">
      <c r="B80">
        <v>627</v>
      </c>
      <c r="C80" s="17">
        <v>6</v>
      </c>
      <c r="D80" s="22" t="s">
        <v>97</v>
      </c>
      <c r="E80" s="90">
        <v>172.82867814131154</v>
      </c>
      <c r="F80" s="5">
        <v>90592.33</v>
      </c>
      <c r="G80" s="5">
        <v>0</v>
      </c>
      <c r="H80" s="5">
        <v>90592.33</v>
      </c>
      <c r="I80" s="58">
        <f t="shared" si="13"/>
        <v>524.17417626678912</v>
      </c>
      <c r="J80">
        <v>365</v>
      </c>
      <c r="K80" s="128" t="str">
        <f t="shared" si="16"/>
        <v>-</v>
      </c>
      <c r="L80" s="96">
        <f t="shared" si="17"/>
        <v>90592.33</v>
      </c>
      <c r="M80" s="96">
        <f t="shared" si="18"/>
        <v>50534.586463628781</v>
      </c>
      <c r="N80" s="60"/>
      <c r="O80" s="60">
        <f>IFERROR(INDEX('Revised 2020 MFAM(2020 PYAs)'!U$20:U$269,MATCH(B80,'Revised 2020 MFAM(2020 PYAs)'!B$20:B$269,0)),0)</f>
        <v>-63.504752552529681</v>
      </c>
      <c r="P80" s="60">
        <f>IFERROR(INDEX('Revised 2020 MFAM(2019 PYAs)'!AF$26:AF$274,MATCH(B80,'Revised 2020 MFAM(2019 PYAs)'!B$26:B$274,0)),0)</f>
        <v>-0.34444796208845219</v>
      </c>
      <c r="Q80" s="60">
        <f t="shared" si="19"/>
        <v>-1.4156680585406087</v>
      </c>
      <c r="R80" s="60">
        <f t="shared" si="20"/>
        <v>-65.264868573158736</v>
      </c>
      <c r="S80" s="60"/>
      <c r="T80" s="108">
        <f t="shared" ref="T80:T143" si="25">M80+R80</f>
        <v>50469.321595055619</v>
      </c>
      <c r="U80" s="109">
        <v>0</v>
      </c>
      <c r="V80" s="110">
        <f t="shared" si="14"/>
        <v>0</v>
      </c>
      <c r="W80" s="60">
        <f t="shared" si="15"/>
        <v>50469.321595055619</v>
      </c>
      <c r="X80" s="62"/>
      <c r="Y80" s="60">
        <f t="shared" si="21"/>
        <v>12617.330398763905</v>
      </c>
      <c r="Z80" s="60">
        <f t="shared" si="22"/>
        <v>12617.330398763905</v>
      </c>
      <c r="AA80" s="60">
        <f t="shared" si="23"/>
        <v>12617.330398763905</v>
      </c>
      <c r="AB80" s="60">
        <f t="shared" si="24"/>
        <v>12617.330398763905</v>
      </c>
    </row>
    <row r="81" spans="2:28" x14ac:dyDescent="0.35">
      <c r="B81">
        <v>634</v>
      </c>
      <c r="C81" s="17">
        <v>6</v>
      </c>
      <c r="D81" s="22" t="s">
        <v>98</v>
      </c>
      <c r="E81" s="90">
        <v>582.03898446234814</v>
      </c>
      <c r="F81" s="5">
        <v>654980.53</v>
      </c>
      <c r="G81" s="5">
        <v>0</v>
      </c>
      <c r="H81" s="5">
        <v>654980.53</v>
      </c>
      <c r="I81" s="58">
        <f t="shared" si="13"/>
        <v>1125.3207216094481</v>
      </c>
      <c r="J81">
        <v>365</v>
      </c>
      <c r="K81" s="128" t="str">
        <f t="shared" si="16"/>
        <v>-</v>
      </c>
      <c r="L81" s="96">
        <f t="shared" si="17"/>
        <v>654980.53</v>
      </c>
      <c r="M81" s="96">
        <f t="shared" si="18"/>
        <v>365363.9356143992</v>
      </c>
      <c r="N81" s="60"/>
      <c r="O81" s="60">
        <f>IFERROR(INDEX('Revised 2020 MFAM(2020 PYAs)'!U$20:U$269,MATCH(B81,'Revised 2020 MFAM(2020 PYAs)'!B$20:B$269,0)),0)</f>
        <v>676.73474083759356</v>
      </c>
      <c r="P81" s="60">
        <f>IFERROR(INDEX('Revised 2020 MFAM(2019 PYAs)'!AF$26:AF$274,MATCH(B81,'Revised 2020 MFAM(2019 PYAs)'!B$26:B$274,0)),0)</f>
        <v>-3.1073384203191381</v>
      </c>
      <c r="Q81" s="60">
        <f t="shared" si="19"/>
        <v>-10.235248561186129</v>
      </c>
      <c r="R81" s="60">
        <f t="shared" si="20"/>
        <v>663.39215385608827</v>
      </c>
      <c r="S81" s="60"/>
      <c r="T81" s="108">
        <f t="shared" si="25"/>
        <v>366027.32776825532</v>
      </c>
      <c r="U81" s="109">
        <v>0</v>
      </c>
      <c r="V81" s="110">
        <f t="shared" si="14"/>
        <v>0</v>
      </c>
      <c r="W81" s="60">
        <f t="shared" si="15"/>
        <v>366027.32776825532</v>
      </c>
      <c r="X81" s="62"/>
      <c r="Y81" s="60">
        <f t="shared" si="21"/>
        <v>91506.831942063829</v>
      </c>
      <c r="Z81" s="60">
        <f t="shared" si="22"/>
        <v>91506.831942063829</v>
      </c>
      <c r="AA81" s="60">
        <f t="shared" si="23"/>
        <v>91506.831942063829</v>
      </c>
      <c r="AB81" s="60">
        <f t="shared" si="24"/>
        <v>91506.831942063829</v>
      </c>
    </row>
    <row r="82" spans="2:28" x14ac:dyDescent="0.35">
      <c r="B82">
        <v>636</v>
      </c>
      <c r="C82" s="17">
        <v>6</v>
      </c>
      <c r="D82" s="22" t="s">
        <v>99</v>
      </c>
      <c r="E82" s="90">
        <v>36.387293915419555</v>
      </c>
      <c r="F82" s="5">
        <v>81810.84</v>
      </c>
      <c r="G82" s="5">
        <v>76644</v>
      </c>
      <c r="H82" s="5">
        <v>5166.8399999999965</v>
      </c>
      <c r="I82" s="58">
        <f t="shared" si="13"/>
        <v>141.99572004475127</v>
      </c>
      <c r="J82">
        <v>272</v>
      </c>
      <c r="K82" s="128">
        <f t="shared" si="16"/>
        <v>45199</v>
      </c>
      <c r="L82" s="96">
        <f t="shared" si="17"/>
        <v>3850.3574794520523</v>
      </c>
      <c r="M82" s="96">
        <f t="shared" si="18"/>
        <v>2147.8222600218969</v>
      </c>
      <c r="N82" s="60"/>
      <c r="O82" s="60">
        <f>IFERROR(INDEX('Revised 2020 MFAM(2020 PYAs)'!U$20:U$269,MATCH(B82,'Revised 2020 MFAM(2020 PYAs)'!B$20:B$269,0)),0)</f>
        <v>-4.3034026005525448</v>
      </c>
      <c r="P82" s="60">
        <f>IFERROR(INDEX('Revised 2020 MFAM(2019 PYAs)'!AF$26:AF$274,MATCH(B82,'Revised 2020 MFAM(2019 PYAs)'!B$26:B$274,0)),0)</f>
        <v>0</v>
      </c>
      <c r="Q82" s="60">
        <f t="shared" si="19"/>
        <v>-6.0168759293675288E-2</v>
      </c>
      <c r="R82" s="60">
        <f t="shared" si="20"/>
        <v>-4.3635713598462198</v>
      </c>
      <c r="S82" s="60"/>
      <c r="T82" s="108">
        <f t="shared" si="25"/>
        <v>2143.4586886620505</v>
      </c>
      <c r="U82" s="109">
        <v>1</v>
      </c>
      <c r="V82" s="110">
        <f t="shared" si="14"/>
        <v>-214.34586886620505</v>
      </c>
      <c r="W82" s="60">
        <f t="shared" si="15"/>
        <v>1929.1128197958453</v>
      </c>
      <c r="X82" s="62"/>
      <c r="Y82" s="60">
        <f t="shared" si="21"/>
        <v>643.03760659861507</v>
      </c>
      <c r="Z82" s="60">
        <f t="shared" si="22"/>
        <v>643.03760659861507</v>
      </c>
      <c r="AA82" s="60">
        <f t="shared" si="23"/>
        <v>643.03760659861507</v>
      </c>
      <c r="AB82" s="60">
        <f t="shared" si="24"/>
        <v>0</v>
      </c>
    </row>
    <row r="83" spans="2:28" x14ac:dyDescent="0.35">
      <c r="B83">
        <v>641</v>
      </c>
      <c r="C83" s="17">
        <v>6</v>
      </c>
      <c r="D83" s="22" t="s">
        <v>100</v>
      </c>
      <c r="E83" s="90">
        <v>14.80235467453889</v>
      </c>
      <c r="F83" s="5">
        <v>34323.339999999997</v>
      </c>
      <c r="G83" s="5">
        <v>0</v>
      </c>
      <c r="H83" s="5">
        <v>34323.339999999997</v>
      </c>
      <c r="I83" s="58">
        <f t="shared" si="13"/>
        <v>2318.7756782398005</v>
      </c>
      <c r="J83">
        <v>272</v>
      </c>
      <c r="K83" s="128">
        <f t="shared" si="16"/>
        <v>45199</v>
      </c>
      <c r="L83" s="96">
        <f t="shared" si="17"/>
        <v>25577.941041095888</v>
      </c>
      <c r="M83" s="96">
        <f t="shared" si="18"/>
        <v>14267.992368701183</v>
      </c>
      <c r="N83" s="60"/>
      <c r="O83" s="60">
        <f>IFERROR(INDEX('Revised 2020 MFAM(2020 PYAs)'!U$20:U$269,MATCH(B83,'Revised 2020 MFAM(2020 PYAs)'!B$20:B$269,0)),0)</f>
        <v>-28.244843925596797</v>
      </c>
      <c r="P83" s="60">
        <f>IFERROR(INDEX('Revised 2020 MFAM(2019 PYAs)'!AF$26:AF$274,MATCH(B83,'Revised 2020 MFAM(2019 PYAs)'!B$26:B$274,0)),0)</f>
        <v>-4.514987748598287E-2</v>
      </c>
      <c r="Q83" s="60">
        <f t="shared" si="19"/>
        <v>-0.39970132278432813</v>
      </c>
      <c r="R83" s="60">
        <f t="shared" si="20"/>
        <v>-28.689695125867107</v>
      </c>
      <c r="S83" s="60"/>
      <c r="T83" s="108">
        <f t="shared" si="25"/>
        <v>14239.302673575316</v>
      </c>
      <c r="U83" s="109">
        <v>0</v>
      </c>
      <c r="V83" s="110">
        <f t="shared" si="14"/>
        <v>0</v>
      </c>
      <c r="W83" s="60">
        <f t="shared" si="15"/>
        <v>14239.302673575316</v>
      </c>
      <c r="X83" s="62"/>
      <c r="Y83" s="60">
        <f t="shared" si="21"/>
        <v>4746.4342245251055</v>
      </c>
      <c r="Z83" s="60">
        <f t="shared" si="22"/>
        <v>4746.4342245251055</v>
      </c>
      <c r="AA83" s="60">
        <f t="shared" si="23"/>
        <v>4746.4342245251055</v>
      </c>
      <c r="AB83" s="60">
        <f t="shared" si="24"/>
        <v>0</v>
      </c>
    </row>
    <row r="84" spans="2:28" x14ac:dyDescent="0.35">
      <c r="B84">
        <v>644</v>
      </c>
      <c r="C84" s="17">
        <v>6</v>
      </c>
      <c r="D84" s="22" t="s">
        <v>101</v>
      </c>
      <c r="E84" s="90">
        <v>8.5901038686268958</v>
      </c>
      <c r="F84" s="5">
        <v>21552.47</v>
      </c>
      <c r="G84" s="5">
        <v>0</v>
      </c>
      <c r="H84" s="5">
        <v>21552.47</v>
      </c>
      <c r="I84" s="58">
        <f t="shared" si="13"/>
        <v>2508.9882881061253</v>
      </c>
      <c r="J84">
        <v>365</v>
      </c>
      <c r="K84" s="128" t="str">
        <f t="shared" si="16"/>
        <v>-</v>
      </c>
      <c r="L84" s="96">
        <f t="shared" si="17"/>
        <v>21552.47</v>
      </c>
      <c r="M84" s="96">
        <f t="shared" si="18"/>
        <v>12022.487540830061</v>
      </c>
      <c r="N84" s="60"/>
      <c r="O84" s="60">
        <f>IFERROR(INDEX('Revised 2020 MFAM(2020 PYAs)'!U$20:U$269,MATCH(B84,'Revised 2020 MFAM(2020 PYAs)'!B$20:B$269,0)),0)</f>
        <v>-36.783578329395823</v>
      </c>
      <c r="P84" s="60">
        <f>IFERROR(INDEX('Revised 2020 MFAM(2019 PYAs)'!AF$26:AF$274,MATCH(B84,'Revised 2020 MFAM(2019 PYAs)'!B$26:B$274,0)),0)</f>
        <v>0</v>
      </c>
      <c r="Q84" s="60">
        <f t="shared" si="19"/>
        <v>-0.33679609920237963</v>
      </c>
      <c r="R84" s="60">
        <f t="shared" si="20"/>
        <v>-37.120374428598204</v>
      </c>
      <c r="S84" s="60"/>
      <c r="T84" s="108">
        <f t="shared" si="25"/>
        <v>11985.367166401464</v>
      </c>
      <c r="U84" s="109">
        <v>0</v>
      </c>
      <c r="V84" s="110">
        <f t="shared" si="14"/>
        <v>0</v>
      </c>
      <c r="W84" s="60">
        <f t="shared" si="15"/>
        <v>11985.367166401464</v>
      </c>
      <c r="X84" s="62"/>
      <c r="Y84" s="60">
        <f t="shared" si="21"/>
        <v>2996.3417916003659</v>
      </c>
      <c r="Z84" s="60">
        <f t="shared" si="22"/>
        <v>2996.3417916003659</v>
      </c>
      <c r="AA84" s="60">
        <f t="shared" si="23"/>
        <v>2996.3417916003659</v>
      </c>
      <c r="AB84" s="60">
        <f t="shared" si="24"/>
        <v>2996.3417916003659</v>
      </c>
    </row>
    <row r="85" spans="2:28" x14ac:dyDescent="0.35">
      <c r="B85">
        <v>646</v>
      </c>
      <c r="C85" s="17">
        <v>6</v>
      </c>
      <c r="D85" s="22" t="s">
        <v>102</v>
      </c>
      <c r="E85" s="90">
        <v>6.7909644373500937</v>
      </c>
      <c r="F85" s="5">
        <v>99033.19</v>
      </c>
      <c r="G85" s="5">
        <v>0</v>
      </c>
      <c r="H85" s="5">
        <v>99033.19</v>
      </c>
      <c r="I85" s="58">
        <f t="shared" si="13"/>
        <v>14583.081816084992</v>
      </c>
      <c r="J85">
        <v>365</v>
      </c>
      <c r="K85" s="128" t="str">
        <f t="shared" si="16"/>
        <v>-</v>
      </c>
      <c r="L85" s="96">
        <f t="shared" si="17"/>
        <v>99033.19</v>
      </c>
      <c r="M85" s="96">
        <f t="shared" si="18"/>
        <v>55243.101737464713</v>
      </c>
      <c r="N85" s="60"/>
      <c r="O85" s="60">
        <f>IFERROR(INDEX('Revised 2020 MFAM(2020 PYAs)'!U$20:U$269,MATCH(B85,'Revised 2020 MFAM(2020 PYAs)'!B$20:B$269,0)),0)</f>
        <v>0</v>
      </c>
      <c r="P85" s="60">
        <f>IFERROR(INDEX('Revised 2020 MFAM(2019 PYAs)'!AF$26:AF$274,MATCH(B85,'Revised 2020 MFAM(2019 PYAs)'!B$26:B$274,0)),0)</f>
        <v>0</v>
      </c>
      <c r="Q85" s="60">
        <f t="shared" si="19"/>
        <v>-1.5475716743170556</v>
      </c>
      <c r="R85" s="60">
        <f t="shared" si="20"/>
        <v>-1.5475716743170556</v>
      </c>
      <c r="S85" s="60"/>
      <c r="T85" s="108">
        <f t="shared" si="25"/>
        <v>55241.554165790396</v>
      </c>
      <c r="U85" s="109">
        <v>0</v>
      </c>
      <c r="V85" s="110">
        <f t="shared" si="14"/>
        <v>0</v>
      </c>
      <c r="W85" s="60">
        <f t="shared" si="15"/>
        <v>55241.554165790396</v>
      </c>
      <c r="X85" s="62"/>
      <c r="Y85" s="60">
        <f t="shared" si="21"/>
        <v>13810.388541447599</v>
      </c>
      <c r="Z85" s="60">
        <f t="shared" si="22"/>
        <v>13810.388541447599</v>
      </c>
      <c r="AA85" s="60">
        <f t="shared" si="23"/>
        <v>13810.388541447599</v>
      </c>
      <c r="AB85" s="60">
        <f t="shared" si="24"/>
        <v>13810.388541447599</v>
      </c>
    </row>
    <row r="86" spans="2:28" x14ac:dyDescent="0.35">
      <c r="B86">
        <v>694</v>
      </c>
      <c r="C86" s="17">
        <v>6</v>
      </c>
      <c r="D86" s="22" t="s">
        <v>103</v>
      </c>
      <c r="E86" s="90">
        <v>23.31</v>
      </c>
      <c r="F86" s="5">
        <v>90330.48</v>
      </c>
      <c r="G86" s="5">
        <v>0</v>
      </c>
      <c r="H86" s="5">
        <v>90330.48</v>
      </c>
      <c r="I86" s="58">
        <f t="shared" si="13"/>
        <v>3875.1814671814673</v>
      </c>
      <c r="J86">
        <v>365</v>
      </c>
      <c r="K86" s="128" t="str">
        <f t="shared" si="16"/>
        <v>-</v>
      </c>
      <c r="L86" s="96">
        <f t="shared" si="17"/>
        <v>90330.48</v>
      </c>
      <c r="M86" s="96">
        <f t="shared" si="18"/>
        <v>50388.520218666301</v>
      </c>
      <c r="N86" s="60"/>
      <c r="O86" s="60">
        <f>IFERROR(INDEX('Revised 2020 MFAM(2020 PYAs)'!U$20:U$269,MATCH(B86,'Revised 2020 MFAM(2020 PYAs)'!B$20:B$269,0)),0)</f>
        <v>-37.629375657070341</v>
      </c>
      <c r="P86" s="60">
        <f>IFERROR(INDEX('Revised 2020 MFAM(2019 PYAs)'!AF$26:AF$274,MATCH(B86,'Revised 2020 MFAM(2019 PYAs)'!B$26:B$274,0)),0)</f>
        <v>-9.7890363052101748E-2</v>
      </c>
      <c r="Q86" s="60">
        <f t="shared" si="19"/>
        <v>-1.4115761814343586</v>
      </c>
      <c r="R86" s="60">
        <f t="shared" si="20"/>
        <v>-39.138842201556798</v>
      </c>
      <c r="S86" s="60"/>
      <c r="T86" s="108">
        <f t="shared" si="25"/>
        <v>50349.381376464742</v>
      </c>
      <c r="U86" s="109">
        <v>0</v>
      </c>
      <c r="V86" s="110">
        <f t="shared" si="14"/>
        <v>0</v>
      </c>
      <c r="W86" s="60">
        <f t="shared" si="15"/>
        <v>50349.381376464742</v>
      </c>
      <c r="X86" s="62"/>
      <c r="Y86" s="60">
        <f t="shared" si="21"/>
        <v>12587.345344116186</v>
      </c>
      <c r="Z86" s="60">
        <f t="shared" si="22"/>
        <v>12587.345344116186</v>
      </c>
      <c r="AA86" s="60">
        <f t="shared" si="23"/>
        <v>12587.345344116186</v>
      </c>
      <c r="AB86" s="60">
        <f t="shared" si="24"/>
        <v>12587.345344116186</v>
      </c>
    </row>
    <row r="87" spans="2:28" x14ac:dyDescent="0.35">
      <c r="B87">
        <v>706</v>
      </c>
      <c r="C87" s="17">
        <v>6</v>
      </c>
      <c r="D87" s="22" t="s">
        <v>104</v>
      </c>
      <c r="E87" s="90">
        <v>58.217409265534258</v>
      </c>
      <c r="F87" s="5">
        <v>65903.27</v>
      </c>
      <c r="G87" s="5">
        <v>0</v>
      </c>
      <c r="H87" s="5">
        <v>65903.27</v>
      </c>
      <c r="I87" s="58">
        <f t="shared" si="13"/>
        <v>1132.0199718852125</v>
      </c>
      <c r="J87">
        <v>365</v>
      </c>
      <c r="K87" s="128" t="str">
        <f t="shared" si="16"/>
        <v>-</v>
      </c>
      <c r="L87" s="96">
        <f t="shared" si="17"/>
        <v>65903.27</v>
      </c>
      <c r="M87" s="96">
        <f t="shared" si="18"/>
        <v>36762.433376543828</v>
      </c>
      <c r="N87" s="60"/>
      <c r="O87" s="60">
        <f>IFERROR(INDEX('Revised 2020 MFAM(2020 PYAs)'!U$20:U$269,MATCH(B87,'Revised 2020 MFAM(2020 PYAs)'!B$20:B$269,0)),0)</f>
        <v>-51.825597147642839</v>
      </c>
      <c r="P87" s="60">
        <f>IFERROR(INDEX('Revised 2020 MFAM(2019 PYAs)'!AF$26:AF$274,MATCH(B87,'Revised 2020 MFAM(2019 PYAs)'!B$26:B$274,0)),0)</f>
        <v>-0.27374428331313538</v>
      </c>
      <c r="Q87" s="60">
        <f t="shared" si="19"/>
        <v>-1.0298571004010775</v>
      </c>
      <c r="R87" s="60">
        <f t="shared" si="20"/>
        <v>-53.129198531357048</v>
      </c>
      <c r="S87" s="60"/>
      <c r="T87" s="108">
        <f t="shared" si="25"/>
        <v>36709.304178012469</v>
      </c>
      <c r="U87" s="109">
        <v>0</v>
      </c>
      <c r="V87" s="110">
        <f t="shared" si="14"/>
        <v>0</v>
      </c>
      <c r="W87" s="60">
        <f t="shared" si="15"/>
        <v>36709.304178012469</v>
      </c>
      <c r="X87" s="62"/>
      <c r="Y87" s="60">
        <f t="shared" si="21"/>
        <v>9177.3260445031174</v>
      </c>
      <c r="Z87" s="60">
        <f t="shared" si="22"/>
        <v>9177.3260445031174</v>
      </c>
      <c r="AA87" s="60">
        <f t="shared" si="23"/>
        <v>9177.3260445031174</v>
      </c>
      <c r="AB87" s="60">
        <f t="shared" si="24"/>
        <v>9177.3260445031174</v>
      </c>
    </row>
    <row r="88" spans="2:28" x14ac:dyDescent="0.35">
      <c r="B88">
        <v>710</v>
      </c>
      <c r="C88" s="17">
        <v>6</v>
      </c>
      <c r="D88" s="22" t="s">
        <v>105</v>
      </c>
      <c r="E88" s="90">
        <v>67.05</v>
      </c>
      <c r="F88" s="5">
        <v>156187.29</v>
      </c>
      <c r="G88" s="5">
        <v>0</v>
      </c>
      <c r="H88" s="5">
        <v>156187.29</v>
      </c>
      <c r="I88" s="58">
        <f t="shared" si="13"/>
        <v>2329.4152125279643</v>
      </c>
      <c r="J88">
        <v>273</v>
      </c>
      <c r="K88" s="128">
        <f t="shared" si="16"/>
        <v>45200</v>
      </c>
      <c r="L88" s="96">
        <f t="shared" si="17"/>
        <v>116819.53471232878</v>
      </c>
      <c r="M88" s="96">
        <f t="shared" si="18"/>
        <v>65164.753766252201</v>
      </c>
      <c r="N88" s="60"/>
      <c r="O88" s="60">
        <f>IFERROR(INDEX('Revised 2020 MFAM(2020 PYAs)'!U$20:U$269,MATCH(B88,'Revised 2020 MFAM(2020 PYAs)'!B$20:B$269,0)),0)</f>
        <v>-62.408756825818273</v>
      </c>
      <c r="P88" s="60">
        <f>IFERROR(INDEX('Revised 2020 MFAM(2019 PYAs)'!AF$26:AF$274,MATCH(B88,'Revised 2020 MFAM(2019 PYAs)'!B$26:B$274,0)),0)</f>
        <v>-0.27869384561927291</v>
      </c>
      <c r="Q88" s="60">
        <f t="shared" si="19"/>
        <v>-1.8255152936878845</v>
      </c>
      <c r="R88" s="60">
        <f t="shared" si="20"/>
        <v>-64.512965965125431</v>
      </c>
      <c r="S88" s="60"/>
      <c r="T88" s="108">
        <f t="shared" si="25"/>
        <v>65100.240800287072</v>
      </c>
      <c r="U88" s="109">
        <v>0</v>
      </c>
      <c r="V88" s="110">
        <f t="shared" si="14"/>
        <v>0</v>
      </c>
      <c r="W88" s="60">
        <f t="shared" si="15"/>
        <v>65100.240800287072</v>
      </c>
      <c r="X88" s="62"/>
      <c r="Y88" s="60">
        <f t="shared" si="21"/>
        <v>21700.080266762357</v>
      </c>
      <c r="Z88" s="60">
        <f t="shared" si="22"/>
        <v>21700.080266762357</v>
      </c>
      <c r="AA88" s="60">
        <f t="shared" si="23"/>
        <v>21700.080266762357</v>
      </c>
      <c r="AB88" s="60">
        <f t="shared" si="24"/>
        <v>0</v>
      </c>
    </row>
    <row r="89" spans="2:28" x14ac:dyDescent="0.35">
      <c r="B89">
        <v>747</v>
      </c>
      <c r="C89" s="17">
        <v>6</v>
      </c>
      <c r="D89" s="22" t="s">
        <v>106</v>
      </c>
      <c r="E89" s="90">
        <v>35</v>
      </c>
      <c r="F89" s="5">
        <v>45887.17</v>
      </c>
      <c r="G89" s="5">
        <v>0</v>
      </c>
      <c r="H89" s="5">
        <v>45887.17</v>
      </c>
      <c r="I89" s="58">
        <f t="shared" si="13"/>
        <v>1311.0619999999999</v>
      </c>
      <c r="J89">
        <v>365</v>
      </c>
      <c r="K89" s="128" t="str">
        <f t="shared" si="16"/>
        <v>-</v>
      </c>
      <c r="L89" s="96">
        <f t="shared" si="17"/>
        <v>45887.17</v>
      </c>
      <c r="M89" s="96">
        <f t="shared" si="18"/>
        <v>25596.970073915003</v>
      </c>
      <c r="N89" s="60"/>
      <c r="O89" s="60">
        <f>IFERROR(INDEX('Revised 2020 MFAM(2020 PYAs)'!U$20:U$269,MATCH(B89,'Revised 2020 MFAM(2020 PYAs)'!B$20:B$269,0)),0)</f>
        <v>-37.567115781483153</v>
      </c>
      <c r="P89" s="60">
        <f>IFERROR(INDEX('Revised 2020 MFAM(2019 PYAs)'!AF$26:AF$274,MATCH(B89,'Revised 2020 MFAM(2019 PYAs)'!B$26:B$274,0)),0)</f>
        <v>-0.23601051750665647</v>
      </c>
      <c r="Q89" s="60">
        <f t="shared" si="19"/>
        <v>-0.71706954513503363</v>
      </c>
      <c r="R89" s="60">
        <f t="shared" si="20"/>
        <v>-38.520195844124842</v>
      </c>
      <c r="S89" s="60"/>
      <c r="T89" s="108">
        <f t="shared" si="25"/>
        <v>25558.449878070878</v>
      </c>
      <c r="U89" s="109">
        <v>0</v>
      </c>
      <c r="V89" s="110">
        <f t="shared" si="14"/>
        <v>0</v>
      </c>
      <c r="W89" s="60">
        <f t="shared" si="15"/>
        <v>25558.449878070878</v>
      </c>
      <c r="X89" s="62"/>
      <c r="Y89" s="60">
        <f t="shared" si="21"/>
        <v>6389.6124695177195</v>
      </c>
      <c r="Z89" s="60">
        <f t="shared" si="22"/>
        <v>6389.6124695177195</v>
      </c>
      <c r="AA89" s="60">
        <f t="shared" si="23"/>
        <v>6389.6124695177195</v>
      </c>
      <c r="AB89" s="60">
        <f t="shared" si="24"/>
        <v>6389.6124695177195</v>
      </c>
    </row>
    <row r="90" spans="2:28" x14ac:dyDescent="0.35">
      <c r="B90">
        <v>758</v>
      </c>
      <c r="C90" s="17">
        <v>6</v>
      </c>
      <c r="D90" s="22" t="s">
        <v>107</v>
      </c>
      <c r="E90" s="90">
        <v>338.26056612812613</v>
      </c>
      <c r="F90" s="5">
        <v>365375.66</v>
      </c>
      <c r="G90" s="5">
        <v>0</v>
      </c>
      <c r="H90" s="5">
        <v>365375.66</v>
      </c>
      <c r="I90" s="58">
        <f t="shared" si="13"/>
        <v>1080.1603751280993</v>
      </c>
      <c r="J90">
        <v>211</v>
      </c>
      <c r="K90" s="128">
        <f t="shared" si="16"/>
        <v>45138</v>
      </c>
      <c r="L90" s="96">
        <f t="shared" si="17"/>
        <v>211217.16235616436</v>
      </c>
      <c r="M90" s="96">
        <f t="shared" si="18"/>
        <v>117822.02702690069</v>
      </c>
      <c r="N90" s="60"/>
      <c r="O90" s="60">
        <f>IFERROR(INDEX('Revised 2020 MFAM(2020 PYAs)'!U$20:U$269,MATCH(B90,'Revised 2020 MFAM(2020 PYAs)'!B$20:B$269,0)),0)</f>
        <v>-284.53423138897051</v>
      </c>
      <c r="P90" s="60">
        <f>IFERROR(INDEX('Revised 2020 MFAM(2019 PYAs)'!AF$26:AF$274,MATCH(B90,'Revised 2020 MFAM(2019 PYAs)'!B$26:B$274,0)),0)</f>
        <v>-1.556560640965472</v>
      </c>
      <c r="Q90" s="60">
        <f t="shared" si="19"/>
        <v>-3.3006479705644813</v>
      </c>
      <c r="R90" s="60">
        <f t="shared" si="20"/>
        <v>-289.39144000050044</v>
      </c>
      <c r="S90" s="60"/>
      <c r="T90" s="108">
        <f t="shared" si="25"/>
        <v>117532.63558690019</v>
      </c>
      <c r="U90" s="109">
        <v>0</v>
      </c>
      <c r="V90" s="110">
        <f t="shared" si="14"/>
        <v>0</v>
      </c>
      <c r="W90" s="60">
        <f t="shared" si="15"/>
        <v>117532.63558690019</v>
      </c>
      <c r="X90" s="62"/>
      <c r="Y90" s="60">
        <f t="shared" si="21"/>
        <v>58766.317793450093</v>
      </c>
      <c r="Z90" s="60">
        <f t="shared" si="22"/>
        <v>58766.317793450093</v>
      </c>
      <c r="AA90" s="60">
        <f t="shared" si="23"/>
        <v>0</v>
      </c>
      <c r="AB90" s="60">
        <f t="shared" si="24"/>
        <v>0</v>
      </c>
    </row>
    <row r="91" spans="2:28" x14ac:dyDescent="0.35">
      <c r="B91">
        <v>765</v>
      </c>
      <c r="C91" s="17">
        <v>6</v>
      </c>
      <c r="D91" s="22" t="s">
        <v>108</v>
      </c>
      <c r="E91" s="90">
        <v>97.2</v>
      </c>
      <c r="F91" s="5">
        <v>90441.53</v>
      </c>
      <c r="G91" s="5">
        <v>0</v>
      </c>
      <c r="H91" s="5">
        <v>90441.53</v>
      </c>
      <c r="I91" s="58">
        <f t="shared" si="13"/>
        <v>930.46841563786006</v>
      </c>
      <c r="J91">
        <v>365</v>
      </c>
      <c r="K91" s="128" t="str">
        <f t="shared" si="16"/>
        <v>-</v>
      </c>
      <c r="L91" s="96">
        <f t="shared" si="17"/>
        <v>90441.53</v>
      </c>
      <c r="M91" s="96">
        <f t="shared" si="18"/>
        <v>50450.466586827781</v>
      </c>
      <c r="N91" s="60"/>
      <c r="O91" s="60">
        <f>IFERROR(INDEX('Revised 2020 MFAM(2020 PYAs)'!U$20:U$269,MATCH(B91,'Revised 2020 MFAM(2020 PYAs)'!B$20:B$269,0)),0)</f>
        <v>-77.045079609888489</v>
      </c>
      <c r="P91" s="60">
        <f>IFERROR(INDEX('Revised 2020 MFAM(2019 PYAs)'!AF$26:AF$274,MATCH(B91,'Revised 2020 MFAM(2019 PYAs)'!B$26:B$274,0)),0)</f>
        <v>-0.35815930295575527</v>
      </c>
      <c r="Q91" s="60">
        <f t="shared" si="19"/>
        <v>-1.4133115373734424</v>
      </c>
      <c r="R91" s="60">
        <f t="shared" si="20"/>
        <v>-78.81655045021769</v>
      </c>
      <c r="S91" s="60"/>
      <c r="T91" s="108">
        <f t="shared" si="25"/>
        <v>50371.650036377563</v>
      </c>
      <c r="U91" s="109">
        <v>0</v>
      </c>
      <c r="V91" s="110">
        <f t="shared" si="14"/>
        <v>0</v>
      </c>
      <c r="W91" s="60">
        <f t="shared" si="15"/>
        <v>50371.650036377563</v>
      </c>
      <c r="X91" s="62"/>
      <c r="Y91" s="60">
        <f t="shared" si="21"/>
        <v>12592.912509094391</v>
      </c>
      <c r="Z91" s="60">
        <f t="shared" si="22"/>
        <v>12592.912509094391</v>
      </c>
      <c r="AA91" s="60">
        <f t="shared" si="23"/>
        <v>12592.912509094391</v>
      </c>
      <c r="AB91" s="60">
        <f t="shared" si="24"/>
        <v>12592.912509094391</v>
      </c>
    </row>
    <row r="92" spans="2:28" x14ac:dyDescent="0.35">
      <c r="B92">
        <v>770</v>
      </c>
      <c r="C92" s="17">
        <v>6</v>
      </c>
      <c r="D92" s="22" t="s">
        <v>109</v>
      </c>
      <c r="E92" s="90">
        <v>43.45</v>
      </c>
      <c r="F92" s="5">
        <v>25354.3</v>
      </c>
      <c r="G92" s="5">
        <v>0</v>
      </c>
      <c r="H92" s="5">
        <v>25354.3</v>
      </c>
      <c r="I92" s="58">
        <f t="shared" si="13"/>
        <v>583.52819332566162</v>
      </c>
      <c r="J92">
        <v>365</v>
      </c>
      <c r="K92" s="128" t="str">
        <f t="shared" si="16"/>
        <v>-</v>
      </c>
      <c r="L92" s="96">
        <f t="shared" si="17"/>
        <v>25354.3</v>
      </c>
      <c r="M92" s="96">
        <f t="shared" si="18"/>
        <v>14143.240002490091</v>
      </c>
      <c r="N92" s="60"/>
      <c r="O92" s="60">
        <f>IFERROR(INDEX('Revised 2020 MFAM(2020 PYAs)'!U$20:U$269,MATCH(B92,'Revised 2020 MFAM(2020 PYAs)'!B$20:B$269,0)),0)</f>
        <v>-21.817290533414052</v>
      </c>
      <c r="P92" s="60">
        <f>IFERROR(INDEX('Revised 2020 MFAM(2019 PYAs)'!AF$26:AF$274,MATCH(B92,'Revised 2020 MFAM(2019 PYAs)'!B$26:B$274,0)),0)</f>
        <v>-0.13015507124146097</v>
      </c>
      <c r="Q92" s="60">
        <f t="shared" si="19"/>
        <v>-0.39620652936795153</v>
      </c>
      <c r="R92" s="60">
        <f t="shared" si="20"/>
        <v>-22.343652134023465</v>
      </c>
      <c r="S92" s="60"/>
      <c r="T92" s="108">
        <f t="shared" si="25"/>
        <v>14120.896350356068</v>
      </c>
      <c r="U92" s="109">
        <v>0</v>
      </c>
      <c r="V92" s="110">
        <f t="shared" si="14"/>
        <v>0</v>
      </c>
      <c r="W92" s="60">
        <f t="shared" si="15"/>
        <v>14120.896350356068</v>
      </c>
      <c r="X92" s="62"/>
      <c r="Y92" s="60">
        <f t="shared" si="21"/>
        <v>3530.224087589017</v>
      </c>
      <c r="Z92" s="60">
        <f t="shared" si="22"/>
        <v>3530.224087589017</v>
      </c>
      <c r="AA92" s="60">
        <f t="shared" si="23"/>
        <v>3530.224087589017</v>
      </c>
      <c r="AB92" s="60">
        <f t="shared" si="24"/>
        <v>3530.224087589017</v>
      </c>
    </row>
    <row r="93" spans="2:28" x14ac:dyDescent="0.35">
      <c r="B93">
        <v>774</v>
      </c>
      <c r="C93" s="17">
        <v>6</v>
      </c>
      <c r="D93" s="22" t="s">
        <v>110</v>
      </c>
      <c r="E93" s="90">
        <v>374.33502608479955</v>
      </c>
      <c r="F93" s="5">
        <v>311851.53000000003</v>
      </c>
      <c r="G93" s="5">
        <v>0</v>
      </c>
      <c r="H93" s="5">
        <v>311851.53000000003</v>
      </c>
      <c r="I93" s="58">
        <f t="shared" si="13"/>
        <v>833.08135298393131</v>
      </c>
      <c r="J93">
        <v>303</v>
      </c>
      <c r="K93" s="128">
        <f t="shared" si="16"/>
        <v>45230</v>
      </c>
      <c r="L93" s="96">
        <f t="shared" si="17"/>
        <v>258879.48928767125</v>
      </c>
      <c r="M93" s="96">
        <f t="shared" si="18"/>
        <v>144409.22244816844</v>
      </c>
      <c r="N93" s="60"/>
      <c r="O93" s="60">
        <f>IFERROR(INDEX('Revised 2020 MFAM(2020 PYAs)'!U$20:U$269,MATCH(B93,'Revised 2020 MFAM(2020 PYAs)'!B$20:B$269,0)),0)</f>
        <v>-273.46719535492593</v>
      </c>
      <c r="P93" s="60">
        <f>IFERROR(INDEX('Revised 2020 MFAM(2019 PYAs)'!AF$26:AF$274,MATCH(B93,'Revised 2020 MFAM(2019 PYAs)'!B$26:B$274,0)),0)</f>
        <v>-1.3529818434617482</v>
      </c>
      <c r="Q93" s="60">
        <f t="shared" si="19"/>
        <v>-4.0454575348250996</v>
      </c>
      <c r="R93" s="60">
        <f t="shared" si="20"/>
        <v>-278.8656347332128</v>
      </c>
      <c r="S93" s="60"/>
      <c r="T93" s="108">
        <f t="shared" si="25"/>
        <v>144130.35681343524</v>
      </c>
      <c r="U93" s="109">
        <v>0</v>
      </c>
      <c r="V93" s="110">
        <f t="shared" si="14"/>
        <v>0</v>
      </c>
      <c r="W93" s="60">
        <f t="shared" si="15"/>
        <v>144130.35681343524</v>
      </c>
      <c r="X93" s="62"/>
      <c r="Y93" s="60">
        <f t="shared" si="21"/>
        <v>48043.452271145077</v>
      </c>
      <c r="Z93" s="60">
        <f t="shared" si="22"/>
        <v>48043.452271145077</v>
      </c>
      <c r="AA93" s="60">
        <f t="shared" si="23"/>
        <v>48043.452271145077</v>
      </c>
      <c r="AB93" s="60">
        <f t="shared" si="24"/>
        <v>0</v>
      </c>
    </row>
    <row r="94" spans="2:28" x14ac:dyDescent="0.35">
      <c r="B94">
        <v>794</v>
      </c>
      <c r="C94" s="17">
        <v>6</v>
      </c>
      <c r="D94" s="22" t="s">
        <v>111</v>
      </c>
      <c r="E94" s="90">
        <v>17.276725758249601</v>
      </c>
      <c r="F94" s="5">
        <v>56331.19</v>
      </c>
      <c r="G94" s="5">
        <v>0</v>
      </c>
      <c r="H94" s="5">
        <v>56331.19</v>
      </c>
      <c r="I94" s="58">
        <f t="shared" si="13"/>
        <v>3260.5246380728117</v>
      </c>
      <c r="J94">
        <v>365</v>
      </c>
      <c r="K94" s="128" t="str">
        <f t="shared" si="16"/>
        <v>-</v>
      </c>
      <c r="L94" s="96">
        <f t="shared" si="17"/>
        <v>56331.19</v>
      </c>
      <c r="M94" s="96">
        <f t="shared" si="18"/>
        <v>31422.896305394737</v>
      </c>
      <c r="N94" s="60"/>
      <c r="O94" s="60">
        <f>IFERROR(INDEX('Revised 2020 MFAM(2020 PYAs)'!U$20:U$269,MATCH(B94,'Revised 2020 MFAM(2020 PYAs)'!B$20:B$269,0)),0)</f>
        <v>-41.027244325883657</v>
      </c>
      <c r="P94" s="60">
        <f>IFERROR(INDEX('Revised 2020 MFAM(2019 PYAs)'!AF$26:AF$274,MATCH(B94,'Revised 2020 MFAM(2019 PYAs)'!B$26:B$274,0)),0)</f>
        <v>-0.13096624466379581</v>
      </c>
      <c r="Q94" s="60">
        <f t="shared" si="19"/>
        <v>-0.8802761379752807</v>
      </c>
      <c r="R94" s="60">
        <f t="shared" si="20"/>
        <v>-42.038486708522733</v>
      </c>
      <c r="S94" s="60"/>
      <c r="T94" s="108">
        <f t="shared" si="25"/>
        <v>31380.857818686214</v>
      </c>
      <c r="U94" s="109">
        <v>0</v>
      </c>
      <c r="V94" s="110">
        <f t="shared" si="14"/>
        <v>0</v>
      </c>
      <c r="W94" s="60">
        <f t="shared" si="15"/>
        <v>31380.857818686214</v>
      </c>
      <c r="X94" s="62"/>
      <c r="Y94" s="60">
        <f t="shared" si="21"/>
        <v>7845.2144546715535</v>
      </c>
      <c r="Z94" s="60">
        <f t="shared" si="22"/>
        <v>7845.2144546715535</v>
      </c>
      <c r="AA94" s="60">
        <f t="shared" si="23"/>
        <v>7845.2144546715535</v>
      </c>
      <c r="AB94" s="60">
        <f t="shared" si="24"/>
        <v>7845.2144546715535</v>
      </c>
    </row>
    <row r="95" spans="2:28" x14ac:dyDescent="0.35">
      <c r="B95">
        <v>806</v>
      </c>
      <c r="C95" s="17">
        <v>6</v>
      </c>
      <c r="D95" s="22" t="s">
        <v>112</v>
      </c>
      <c r="E95" s="90">
        <v>43.76</v>
      </c>
      <c r="F95" s="5">
        <v>57768.15</v>
      </c>
      <c r="G95" s="5">
        <v>0</v>
      </c>
      <c r="H95" s="5">
        <v>57768.15</v>
      </c>
      <c r="I95" s="58">
        <f t="shared" si="13"/>
        <v>1320.1131170018282</v>
      </c>
      <c r="J95">
        <v>365</v>
      </c>
      <c r="K95" s="128" t="str">
        <f t="shared" si="16"/>
        <v>-</v>
      </c>
      <c r="L95" s="96">
        <f t="shared" si="17"/>
        <v>57768.15</v>
      </c>
      <c r="M95" s="96">
        <f t="shared" si="18"/>
        <v>32224.467248153091</v>
      </c>
      <c r="N95" s="60"/>
      <c r="O95" s="60">
        <f>IFERROR(INDEX('Revised 2020 MFAM(2020 PYAs)'!U$20:U$269,MATCH(B95,'Revised 2020 MFAM(2020 PYAs)'!B$20:B$269,0)),0)</f>
        <v>-44.94614801689022</v>
      </c>
      <c r="P95" s="60">
        <f>IFERROR(INDEX('Revised 2020 MFAM(2019 PYAs)'!AF$26:AF$274,MATCH(B95,'Revised 2020 MFAM(2019 PYAs)'!B$26:B$274,0)),0)</f>
        <v>-0.16726404778273718</v>
      </c>
      <c r="Q95" s="60">
        <f t="shared" si="19"/>
        <v>-0.9027312219034731</v>
      </c>
      <c r="R95" s="60">
        <f t="shared" si="20"/>
        <v>-46.01614328657643</v>
      </c>
      <c r="S95" s="60"/>
      <c r="T95" s="108">
        <f t="shared" si="25"/>
        <v>32178.451104866515</v>
      </c>
      <c r="U95" s="109">
        <v>0</v>
      </c>
      <c r="V95" s="110">
        <f t="shared" si="14"/>
        <v>0</v>
      </c>
      <c r="W95" s="60">
        <f t="shared" si="15"/>
        <v>32178.451104866515</v>
      </c>
      <c r="X95" s="62"/>
      <c r="Y95" s="60">
        <f t="shared" si="21"/>
        <v>8044.6127762166288</v>
      </c>
      <c r="Z95" s="60">
        <f t="shared" si="22"/>
        <v>8044.6127762166288</v>
      </c>
      <c r="AA95" s="60">
        <f t="shared" si="23"/>
        <v>8044.6127762166288</v>
      </c>
      <c r="AB95" s="60">
        <f t="shared" si="24"/>
        <v>8044.6127762166288</v>
      </c>
    </row>
    <row r="96" spans="2:28" x14ac:dyDescent="0.35">
      <c r="B96">
        <v>811</v>
      </c>
      <c r="C96" s="17">
        <v>6</v>
      </c>
      <c r="D96" s="22" t="s">
        <v>113</v>
      </c>
      <c r="E96" s="90">
        <v>599.99415221555125</v>
      </c>
      <c r="F96" s="5">
        <v>675868.69</v>
      </c>
      <c r="G96" s="5">
        <v>20474.57</v>
      </c>
      <c r="H96" s="5">
        <v>655394.12</v>
      </c>
      <c r="I96" s="58">
        <f t="shared" si="13"/>
        <v>1092.3341795580468</v>
      </c>
      <c r="J96">
        <v>181</v>
      </c>
      <c r="K96" s="128">
        <f t="shared" si="16"/>
        <v>45108</v>
      </c>
      <c r="L96" s="96">
        <f t="shared" si="17"/>
        <v>325003.6595068493</v>
      </c>
      <c r="M96" s="96">
        <f t="shared" si="18"/>
        <v>181294.87929435796</v>
      </c>
      <c r="N96" s="60"/>
      <c r="O96" s="60">
        <f>IFERROR(INDEX('Revised 2020 MFAM(2020 PYAs)'!U$20:U$269,MATCH(B96,'Revised 2020 MFAM(2020 PYAs)'!B$20:B$269,0)),0)</f>
        <v>-1687.812637967465</v>
      </c>
      <c r="P96" s="60">
        <f>IFERROR(INDEX('Revised 2020 MFAM(2019 PYAs)'!AF$26:AF$274,MATCH(B96,'Revised 2020 MFAM(2019 PYAs)'!B$26:B$274,0)),0)</f>
        <v>-2.2221109455858823</v>
      </c>
      <c r="Q96" s="60">
        <f t="shared" si="19"/>
        <v>-5.0787665983715664</v>
      </c>
      <c r="R96" s="60">
        <f t="shared" si="20"/>
        <v>-1695.1135155114225</v>
      </c>
      <c r="S96" s="60"/>
      <c r="T96" s="108">
        <f t="shared" si="25"/>
        <v>179599.76577884654</v>
      </c>
      <c r="U96" s="109">
        <v>0</v>
      </c>
      <c r="V96" s="110">
        <f t="shared" si="14"/>
        <v>0</v>
      </c>
      <c r="W96" s="60">
        <f t="shared" si="15"/>
        <v>179599.76577884654</v>
      </c>
      <c r="X96" s="62"/>
      <c r="Y96" s="60">
        <f t="shared" si="21"/>
        <v>89799.882889423272</v>
      </c>
      <c r="Z96" s="60">
        <f t="shared" si="22"/>
        <v>89799.882889423272</v>
      </c>
      <c r="AA96" s="60">
        <f t="shared" si="23"/>
        <v>0</v>
      </c>
      <c r="AB96" s="60">
        <f t="shared" si="24"/>
        <v>0</v>
      </c>
    </row>
    <row r="97" spans="2:28" x14ac:dyDescent="0.35">
      <c r="B97">
        <v>824</v>
      </c>
      <c r="C97" s="17">
        <v>6</v>
      </c>
      <c r="D97" s="22" t="s">
        <v>114</v>
      </c>
      <c r="E97" s="90">
        <v>32.979999999999997</v>
      </c>
      <c r="F97" s="5">
        <v>54043.9</v>
      </c>
      <c r="G97" s="5">
        <v>0</v>
      </c>
      <c r="H97" s="5">
        <v>54043.9</v>
      </c>
      <c r="I97" s="58">
        <f t="shared" si="13"/>
        <v>1638.6870830806552</v>
      </c>
      <c r="J97">
        <v>365</v>
      </c>
      <c r="K97" s="128" t="str">
        <f t="shared" si="16"/>
        <v>-</v>
      </c>
      <c r="L97" s="96">
        <f t="shared" si="17"/>
        <v>54043.9</v>
      </c>
      <c r="M97" s="96">
        <f t="shared" si="18"/>
        <v>30146.990781468005</v>
      </c>
      <c r="N97" s="60"/>
      <c r="O97" s="60">
        <f>IFERROR(INDEX('Revised 2020 MFAM(2020 PYAs)'!U$20:U$269,MATCH(B97,'Revised 2020 MFAM(2020 PYAs)'!B$20:B$269,0)),0)</f>
        <v>-48.280006136392331</v>
      </c>
      <c r="P97" s="60">
        <f>IFERROR(INDEX('Revised 2020 MFAM(2019 PYAs)'!AF$26:AF$274,MATCH(B97,'Revised 2020 MFAM(2019 PYAs)'!B$26:B$274,0)),0)</f>
        <v>-0.20798665559414076</v>
      </c>
      <c r="Q97" s="60">
        <f t="shared" si="19"/>
        <v>-0.84453311874154036</v>
      </c>
      <c r="R97" s="60">
        <f t="shared" si="20"/>
        <v>-49.332525910728009</v>
      </c>
      <c r="S97" s="60"/>
      <c r="T97" s="108">
        <f t="shared" si="25"/>
        <v>30097.658255557275</v>
      </c>
      <c r="U97" s="109">
        <v>0</v>
      </c>
      <c r="V97" s="110">
        <f t="shared" si="14"/>
        <v>0</v>
      </c>
      <c r="W97" s="60">
        <f t="shared" si="15"/>
        <v>30097.658255557275</v>
      </c>
      <c r="X97" s="62"/>
      <c r="Y97" s="60">
        <f t="shared" si="21"/>
        <v>7524.4145638893187</v>
      </c>
      <c r="Z97" s="60">
        <f t="shared" si="22"/>
        <v>7524.4145638893187</v>
      </c>
      <c r="AA97" s="60">
        <f t="shared" si="23"/>
        <v>7524.4145638893187</v>
      </c>
      <c r="AB97" s="60">
        <f t="shared" si="24"/>
        <v>7524.4145638893187</v>
      </c>
    </row>
    <row r="98" spans="2:28" x14ac:dyDescent="0.35">
      <c r="B98">
        <v>826</v>
      </c>
      <c r="C98" s="17">
        <v>6</v>
      </c>
      <c r="D98" s="22" t="s">
        <v>115</v>
      </c>
      <c r="E98" s="90">
        <v>47.52</v>
      </c>
      <c r="F98" s="5">
        <v>36054.47</v>
      </c>
      <c r="G98" s="5">
        <v>0</v>
      </c>
      <c r="H98" s="5">
        <v>36054.47</v>
      </c>
      <c r="I98" s="58">
        <f t="shared" si="13"/>
        <v>758.72201178451178</v>
      </c>
      <c r="J98">
        <v>365</v>
      </c>
      <c r="K98" s="128" t="str">
        <f t="shared" si="16"/>
        <v>-</v>
      </c>
      <c r="L98" s="96">
        <f t="shared" si="17"/>
        <v>36054.47</v>
      </c>
      <c r="M98" s="96">
        <f t="shared" si="18"/>
        <v>20112.052881467007</v>
      </c>
      <c r="N98" s="60"/>
      <c r="O98" s="60">
        <f>IFERROR(INDEX('Revised 2020 MFAM(2020 PYAs)'!U$20:U$269,MATCH(B98,'Revised 2020 MFAM(2020 PYAs)'!B$20:B$269,0)),0)</f>
        <v>-29.898285400420718</v>
      </c>
      <c r="P98" s="60">
        <f>IFERROR(INDEX('Revised 2020 MFAM(2019 PYAs)'!AF$26:AF$274,MATCH(B98,'Revised 2020 MFAM(2019 PYAs)'!B$26:B$274,0)),0)</f>
        <v>-0.1566673427587375</v>
      </c>
      <c r="Q98" s="60">
        <f t="shared" si="19"/>
        <v>-0.56341592656476125</v>
      </c>
      <c r="R98" s="60">
        <f t="shared" si="20"/>
        <v>-30.618368669744218</v>
      </c>
      <c r="S98" s="60"/>
      <c r="T98" s="108">
        <f t="shared" si="25"/>
        <v>20081.434512797263</v>
      </c>
      <c r="U98" s="109">
        <v>0</v>
      </c>
      <c r="V98" s="110">
        <f t="shared" si="14"/>
        <v>0</v>
      </c>
      <c r="W98" s="60">
        <f t="shared" si="15"/>
        <v>20081.434512797263</v>
      </c>
      <c r="X98" s="62"/>
      <c r="Y98" s="60">
        <f t="shared" si="21"/>
        <v>5020.3586281993157</v>
      </c>
      <c r="Z98" s="60">
        <f t="shared" si="22"/>
        <v>5020.3586281993157</v>
      </c>
      <c r="AA98" s="60">
        <f t="shared" si="23"/>
        <v>5020.3586281993157</v>
      </c>
      <c r="AB98" s="60">
        <f t="shared" si="24"/>
        <v>5020.3586281993157</v>
      </c>
    </row>
    <row r="99" spans="2:28" x14ac:dyDescent="0.35">
      <c r="B99">
        <v>840</v>
      </c>
      <c r="C99" s="17">
        <v>6</v>
      </c>
      <c r="D99" s="22" t="s">
        <v>116</v>
      </c>
      <c r="E99" s="90">
        <v>131.16</v>
      </c>
      <c r="F99" s="5">
        <v>170705.14</v>
      </c>
      <c r="G99" s="5">
        <v>0</v>
      </c>
      <c r="H99" s="5">
        <v>170705.14</v>
      </c>
      <c r="I99" s="58">
        <f t="shared" si="13"/>
        <v>1301.5030497102778</v>
      </c>
      <c r="J99">
        <v>365</v>
      </c>
      <c r="K99" s="128" t="str">
        <f t="shared" si="16"/>
        <v>-</v>
      </c>
      <c r="L99" s="96">
        <f t="shared" si="17"/>
        <v>170705.14</v>
      </c>
      <c r="M99" s="96">
        <f t="shared" si="18"/>
        <v>95223.443939634366</v>
      </c>
      <c r="N99" s="60"/>
      <c r="O99" s="60">
        <f>IFERROR(INDEX('Revised 2020 MFAM(2020 PYAs)'!U$20:U$269,MATCH(B99,'Revised 2020 MFAM(2020 PYAs)'!B$20:B$269,0)),0)</f>
        <v>-135.87917437759461</v>
      </c>
      <c r="P99" s="60">
        <f>IFERROR(INDEX('Revised 2020 MFAM(2019 PYAs)'!AF$26:AF$274,MATCH(B99,'Revised 2020 MFAM(2019 PYAs)'!B$26:B$274,0)),0)</f>
        <v>-0.49413702257879777</v>
      </c>
      <c r="Q99" s="60">
        <f t="shared" si="19"/>
        <v>-2.6675747729051991</v>
      </c>
      <c r="R99" s="60">
        <f t="shared" si="20"/>
        <v>-139.0408861730786</v>
      </c>
      <c r="S99" s="60"/>
      <c r="T99" s="108">
        <f t="shared" si="25"/>
        <v>95084.403053461283</v>
      </c>
      <c r="U99" s="109">
        <v>0</v>
      </c>
      <c r="V99" s="110">
        <f t="shared" si="14"/>
        <v>0</v>
      </c>
      <c r="W99" s="60">
        <f t="shared" si="15"/>
        <v>95084.403053461283</v>
      </c>
      <c r="X99" s="62"/>
      <c r="Y99" s="60">
        <f t="shared" si="21"/>
        <v>23771.100763365321</v>
      </c>
      <c r="Z99" s="60">
        <f t="shared" si="22"/>
        <v>23771.100763365321</v>
      </c>
      <c r="AA99" s="60">
        <f t="shared" si="23"/>
        <v>23771.100763365321</v>
      </c>
      <c r="AB99" s="60">
        <f t="shared" si="24"/>
        <v>23771.100763365321</v>
      </c>
    </row>
    <row r="100" spans="2:28" x14ac:dyDescent="0.35">
      <c r="B100">
        <v>843</v>
      </c>
      <c r="C100" s="17">
        <v>6</v>
      </c>
      <c r="D100" s="22" t="s">
        <v>117</v>
      </c>
      <c r="E100" s="90">
        <v>24.7</v>
      </c>
      <c r="F100" s="5">
        <v>32482.27</v>
      </c>
      <c r="G100" s="5">
        <v>0</v>
      </c>
      <c r="H100" s="5">
        <v>32482.27</v>
      </c>
      <c r="I100" s="58">
        <f t="shared" si="13"/>
        <v>1315.0716599190284</v>
      </c>
      <c r="J100">
        <v>365</v>
      </c>
      <c r="K100" s="128" t="str">
        <f t="shared" si="16"/>
        <v>-</v>
      </c>
      <c r="L100" s="96">
        <f t="shared" si="17"/>
        <v>32482.27</v>
      </c>
      <c r="M100" s="96">
        <f t="shared" si="18"/>
        <v>18119.393571728811</v>
      </c>
      <c r="N100" s="60"/>
      <c r="O100" s="60">
        <f>IFERROR(INDEX('Revised 2020 MFAM(2020 PYAs)'!U$20:U$269,MATCH(B100,'Revised 2020 MFAM(2020 PYAs)'!B$20:B$269,0)),0)</f>
        <v>-26.697420950471496</v>
      </c>
      <c r="P100" s="60">
        <f>IFERROR(INDEX('Revised 2020 MFAM(2019 PYAs)'!AF$26:AF$274,MATCH(B100,'Revised 2020 MFAM(2019 PYAs)'!B$26:B$274,0)),0)</f>
        <v>-0.1333642884510482</v>
      </c>
      <c r="Q100" s="60">
        <f t="shared" si="19"/>
        <v>-0.50759387806773337</v>
      </c>
      <c r="R100" s="60">
        <f t="shared" si="20"/>
        <v>-27.338379116990279</v>
      </c>
      <c r="S100" s="60"/>
      <c r="T100" s="108">
        <f t="shared" si="25"/>
        <v>18092.055192611821</v>
      </c>
      <c r="U100" s="109">
        <v>0</v>
      </c>
      <c r="V100" s="110">
        <f t="shared" si="14"/>
        <v>0</v>
      </c>
      <c r="W100" s="60">
        <f t="shared" si="15"/>
        <v>18092.055192611821</v>
      </c>
      <c r="X100" s="62"/>
      <c r="Y100" s="60">
        <f t="shared" si="21"/>
        <v>4523.0137981529551</v>
      </c>
      <c r="Z100" s="60">
        <f t="shared" si="22"/>
        <v>4523.0137981529551</v>
      </c>
      <c r="AA100" s="60">
        <f t="shared" si="23"/>
        <v>4523.0137981529551</v>
      </c>
      <c r="AB100" s="60">
        <f t="shared" si="24"/>
        <v>4523.0137981529551</v>
      </c>
    </row>
    <row r="101" spans="2:28" x14ac:dyDescent="0.35">
      <c r="B101">
        <v>888</v>
      </c>
      <c r="C101" s="17">
        <v>6</v>
      </c>
      <c r="D101" s="22" t="s">
        <v>118</v>
      </c>
      <c r="E101" s="90">
        <v>104.63430912500075</v>
      </c>
      <c r="F101" s="5">
        <v>70378.8</v>
      </c>
      <c r="G101" s="5">
        <v>0</v>
      </c>
      <c r="H101" s="5">
        <v>70378.8</v>
      </c>
      <c r="I101" s="58">
        <f t="shared" si="13"/>
        <v>672.61685568088751</v>
      </c>
      <c r="J101">
        <v>365</v>
      </c>
      <c r="K101" s="128" t="str">
        <f t="shared" si="16"/>
        <v>-</v>
      </c>
      <c r="L101" s="96">
        <f t="shared" si="17"/>
        <v>70378.8</v>
      </c>
      <c r="M101" s="96">
        <f t="shared" si="18"/>
        <v>39258.991945636422</v>
      </c>
      <c r="N101" s="60"/>
      <c r="O101" s="60">
        <f>IFERROR(INDEX('Revised 2020 MFAM(2020 PYAs)'!U$20:U$269,MATCH(B101,'Revised 2020 MFAM(2020 PYAs)'!B$20:B$269,0)),0)</f>
        <v>-60.221894106703985</v>
      </c>
      <c r="P101" s="60">
        <f>IFERROR(INDEX('Revised 2020 MFAM(2019 PYAs)'!AF$26:AF$274,MATCH(B101,'Revised 2020 MFAM(2019 PYAs)'!B$26:B$274,0)),0)</f>
        <v>-0.21886172376980539</v>
      </c>
      <c r="Q101" s="60">
        <f t="shared" si="19"/>
        <v>-1.0997953045077633</v>
      </c>
      <c r="R101" s="60">
        <f t="shared" si="20"/>
        <v>-61.540551134981555</v>
      </c>
      <c r="S101" s="60"/>
      <c r="T101" s="108">
        <f t="shared" si="25"/>
        <v>39197.451394501441</v>
      </c>
      <c r="U101" s="109">
        <v>0</v>
      </c>
      <c r="V101" s="110">
        <f t="shared" si="14"/>
        <v>0</v>
      </c>
      <c r="W101" s="60">
        <f t="shared" si="15"/>
        <v>39197.451394501441</v>
      </c>
      <c r="X101" s="62"/>
      <c r="Y101" s="60">
        <f t="shared" si="21"/>
        <v>9799.3628486253601</v>
      </c>
      <c r="Z101" s="60">
        <f t="shared" si="22"/>
        <v>9799.3628486253601</v>
      </c>
      <c r="AA101" s="60">
        <f t="shared" si="23"/>
        <v>9799.3628486253601</v>
      </c>
      <c r="AB101" s="60">
        <f t="shared" si="24"/>
        <v>9799.3628486253601</v>
      </c>
    </row>
    <row r="102" spans="2:28" x14ac:dyDescent="0.35">
      <c r="B102">
        <v>889</v>
      </c>
      <c r="C102" s="17">
        <v>6</v>
      </c>
      <c r="D102" s="22" t="s">
        <v>119</v>
      </c>
      <c r="E102" s="90">
        <v>32.681960789592701</v>
      </c>
      <c r="F102" s="5">
        <v>50691.41</v>
      </c>
      <c r="G102" s="5">
        <v>0</v>
      </c>
      <c r="H102" s="5">
        <v>50691.41</v>
      </c>
      <c r="I102" s="58">
        <f t="shared" si="13"/>
        <v>1551.0516742356003</v>
      </c>
      <c r="J102">
        <v>365</v>
      </c>
      <c r="K102" s="128" t="str">
        <f t="shared" si="16"/>
        <v>-</v>
      </c>
      <c r="L102" s="96">
        <f t="shared" si="17"/>
        <v>50691.41</v>
      </c>
      <c r="M102" s="96">
        <f t="shared" si="18"/>
        <v>28276.891008413808</v>
      </c>
      <c r="N102" s="60"/>
      <c r="O102" s="60">
        <f>IFERROR(INDEX('Revised 2020 MFAM(2020 PYAs)'!U$20:U$269,MATCH(B102,'Revised 2020 MFAM(2020 PYAs)'!B$20:B$269,0)),0)</f>
        <v>-43.662402806607133</v>
      </c>
      <c r="P102" s="60">
        <f>IFERROR(INDEX('Revised 2020 MFAM(2019 PYAs)'!AF$26:AF$274,MATCH(B102,'Revised 2020 MFAM(2019 PYAs)'!B$26:B$274,0)),0)</f>
        <v>-0.2294400275022781</v>
      </c>
      <c r="Q102" s="60">
        <f t="shared" si="19"/>
        <v>-0.7921444340750039</v>
      </c>
      <c r="R102" s="60">
        <f t="shared" si="20"/>
        <v>-44.683987268184417</v>
      </c>
      <c r="S102" s="60"/>
      <c r="T102" s="108">
        <f t="shared" si="25"/>
        <v>28232.207021145623</v>
      </c>
      <c r="U102" s="109">
        <v>0</v>
      </c>
      <c r="V102" s="110">
        <f t="shared" si="14"/>
        <v>0</v>
      </c>
      <c r="W102" s="60">
        <f t="shared" si="15"/>
        <v>28232.207021145623</v>
      </c>
      <c r="X102" s="62"/>
      <c r="Y102" s="60">
        <f t="shared" si="21"/>
        <v>7058.0517552864058</v>
      </c>
      <c r="Z102" s="60">
        <f t="shared" si="22"/>
        <v>7058.0517552864058</v>
      </c>
      <c r="AA102" s="60">
        <f t="shared" si="23"/>
        <v>7058.0517552864058</v>
      </c>
      <c r="AB102" s="60">
        <f t="shared" si="24"/>
        <v>7058.0517552864058</v>
      </c>
    </row>
    <row r="103" spans="2:28" x14ac:dyDescent="0.35">
      <c r="B103">
        <v>891</v>
      </c>
      <c r="C103" s="17">
        <v>6</v>
      </c>
      <c r="D103" s="22" t="s">
        <v>120</v>
      </c>
      <c r="E103" s="90">
        <v>205.54222728963816</v>
      </c>
      <c r="F103" s="5">
        <v>114538.28</v>
      </c>
      <c r="G103" s="5">
        <v>0</v>
      </c>
      <c r="H103" s="5">
        <v>114538.28</v>
      </c>
      <c r="I103" s="58">
        <f t="shared" si="13"/>
        <v>557.24938622271179</v>
      </c>
      <c r="J103">
        <v>365</v>
      </c>
      <c r="K103" s="128" t="str">
        <f t="shared" si="16"/>
        <v>-</v>
      </c>
      <c r="L103" s="96">
        <f t="shared" si="17"/>
        <v>114538.28000000001</v>
      </c>
      <c r="M103" s="96">
        <f t="shared" si="18"/>
        <v>63892.214871339806</v>
      </c>
      <c r="N103" s="60"/>
      <c r="O103" s="60">
        <f>IFERROR(INDEX('Revised 2020 MFAM(2020 PYAs)'!U$20:U$269,MATCH(B103,'Revised 2020 MFAM(2020 PYAs)'!B$20:B$269,0)),0)</f>
        <v>-89.246026196509774</v>
      </c>
      <c r="P103" s="60">
        <f>IFERROR(INDEX('Revised 2020 MFAM(2019 PYAs)'!AF$26:AF$274,MATCH(B103,'Revised 2020 MFAM(2019 PYAs)'!B$26:B$274,0)),0)</f>
        <v>-0.45106967747415183</v>
      </c>
      <c r="Q103" s="60">
        <f t="shared" si="19"/>
        <v>-1.7898665866766055</v>
      </c>
      <c r="R103" s="60">
        <f t="shared" si="20"/>
        <v>-91.486962460660536</v>
      </c>
      <c r="S103" s="60"/>
      <c r="T103" s="108">
        <f t="shared" si="25"/>
        <v>63800.727908879147</v>
      </c>
      <c r="U103" s="109">
        <v>0</v>
      </c>
      <c r="V103" s="110">
        <f t="shared" si="14"/>
        <v>0</v>
      </c>
      <c r="W103" s="60">
        <f t="shared" si="15"/>
        <v>63800.727908879147</v>
      </c>
      <c r="X103" s="62"/>
      <c r="Y103" s="60">
        <f t="shared" si="21"/>
        <v>15950.181977219787</v>
      </c>
      <c r="Z103" s="60">
        <f t="shared" si="22"/>
        <v>15950.181977219787</v>
      </c>
      <c r="AA103" s="60">
        <f t="shared" si="23"/>
        <v>15950.181977219787</v>
      </c>
      <c r="AB103" s="60">
        <f t="shared" si="24"/>
        <v>15950.181977219787</v>
      </c>
    </row>
    <row r="104" spans="2:28" x14ac:dyDescent="0.35">
      <c r="B104">
        <v>904</v>
      </c>
      <c r="C104" s="17">
        <v>6</v>
      </c>
      <c r="D104" s="22" t="s">
        <v>121</v>
      </c>
      <c r="E104" s="90">
        <v>27.519405625701427</v>
      </c>
      <c r="F104" s="5">
        <v>19060.54</v>
      </c>
      <c r="G104" s="5">
        <v>0</v>
      </c>
      <c r="H104" s="5">
        <v>19060.54</v>
      </c>
      <c r="I104" s="58">
        <f t="shared" si="13"/>
        <v>692.62179057379899</v>
      </c>
      <c r="J104">
        <v>365</v>
      </c>
      <c r="K104" s="128" t="str">
        <f t="shared" si="16"/>
        <v>-</v>
      </c>
      <c r="L104" s="96">
        <f t="shared" si="17"/>
        <v>19060.54</v>
      </c>
      <c r="M104" s="96">
        <f t="shared" si="18"/>
        <v>10632.428889658262</v>
      </c>
      <c r="N104" s="60"/>
      <c r="O104" s="60">
        <f>IFERROR(INDEX('Revised 2020 MFAM(2020 PYAs)'!U$20:U$269,MATCH(B104,'Revised 2020 MFAM(2020 PYAs)'!B$20:B$269,0)),0)</f>
        <v>-11.624268084869072</v>
      </c>
      <c r="P104" s="60">
        <f>IFERROR(INDEX('Revised 2020 MFAM(2019 PYAs)'!AF$26:AF$274,MATCH(B104,'Revised 2020 MFAM(2019 PYAs)'!B$26:B$274,0)),0)</f>
        <v>-5.8251737710634188E-2</v>
      </c>
      <c r="Q104" s="60">
        <f t="shared" si="19"/>
        <v>-0.29785521198688253</v>
      </c>
      <c r="R104" s="60">
        <f t="shared" si="20"/>
        <v>-11.98037503456659</v>
      </c>
      <c r="S104" s="60"/>
      <c r="T104" s="108">
        <f t="shared" si="25"/>
        <v>10620.448514623695</v>
      </c>
      <c r="U104" s="109">
        <v>0</v>
      </c>
      <c r="V104" s="110">
        <f t="shared" si="14"/>
        <v>0</v>
      </c>
      <c r="W104" s="60">
        <f t="shared" si="15"/>
        <v>10620.448514623695</v>
      </c>
      <c r="X104" s="62"/>
      <c r="Y104" s="60">
        <f t="shared" si="21"/>
        <v>2655.1121286559237</v>
      </c>
      <c r="Z104" s="60">
        <f t="shared" si="22"/>
        <v>2655.1121286559237</v>
      </c>
      <c r="AA104" s="60">
        <f t="shared" si="23"/>
        <v>2655.1121286559237</v>
      </c>
      <c r="AB104" s="60">
        <f t="shared" si="24"/>
        <v>2655.1121286559237</v>
      </c>
    </row>
    <row r="105" spans="2:28" x14ac:dyDescent="0.35">
      <c r="B105">
        <v>957</v>
      </c>
      <c r="C105" s="17">
        <v>6</v>
      </c>
      <c r="D105" s="22" t="s">
        <v>122</v>
      </c>
      <c r="E105" s="90">
        <v>109.31104596052491</v>
      </c>
      <c r="F105" s="5">
        <v>42512.43</v>
      </c>
      <c r="G105" s="5">
        <v>0</v>
      </c>
      <c r="H105" s="5">
        <v>42512.43</v>
      </c>
      <c r="I105" s="58">
        <f t="shared" si="13"/>
        <v>388.91248022045602</v>
      </c>
      <c r="J105">
        <v>365</v>
      </c>
      <c r="K105" s="128" t="str">
        <f t="shared" si="16"/>
        <v>-</v>
      </c>
      <c r="L105" s="96">
        <f t="shared" si="17"/>
        <v>42512.43</v>
      </c>
      <c r="M105" s="96">
        <f t="shared" si="18"/>
        <v>23714.458714263845</v>
      </c>
      <c r="N105" s="60"/>
      <c r="O105" s="60">
        <f>IFERROR(INDEX('Revised 2020 MFAM(2020 PYAs)'!U$20:U$269,MATCH(B105,'Revised 2020 MFAM(2020 PYAs)'!B$20:B$269,0)),0)</f>
        <v>-35.004984230738046</v>
      </c>
      <c r="P105" s="60">
        <f>IFERROR(INDEX('Revised 2020 MFAM(2019 PYAs)'!AF$26:AF$274,MATCH(B105,'Revised 2020 MFAM(2019 PYAs)'!B$26:B$274,0)),0)</f>
        <v>-0.17601528857267112</v>
      </c>
      <c r="Q105" s="60">
        <f t="shared" si="19"/>
        <v>-0.66433316420875288</v>
      </c>
      <c r="R105" s="60">
        <f t="shared" si="20"/>
        <v>-35.845332683519473</v>
      </c>
      <c r="S105" s="60"/>
      <c r="T105" s="108">
        <f t="shared" si="25"/>
        <v>23678.613381580326</v>
      </c>
      <c r="U105" s="109">
        <v>0</v>
      </c>
      <c r="V105" s="110">
        <f t="shared" si="14"/>
        <v>0</v>
      </c>
      <c r="W105" s="60">
        <f t="shared" si="15"/>
        <v>23678.613381580326</v>
      </c>
      <c r="X105" s="62"/>
      <c r="Y105" s="60">
        <f t="shared" si="21"/>
        <v>5919.6533453950815</v>
      </c>
      <c r="Z105" s="60">
        <f t="shared" si="22"/>
        <v>5919.6533453950815</v>
      </c>
      <c r="AA105" s="60">
        <f t="shared" si="23"/>
        <v>5919.6533453950815</v>
      </c>
      <c r="AB105" s="60">
        <f t="shared" si="24"/>
        <v>5919.6533453950815</v>
      </c>
    </row>
    <row r="106" spans="2:28" x14ac:dyDescent="0.35">
      <c r="B106">
        <v>959</v>
      </c>
      <c r="C106" s="17">
        <v>6</v>
      </c>
      <c r="D106" s="22" t="s">
        <v>123</v>
      </c>
      <c r="E106" s="90">
        <v>338.59535355901789</v>
      </c>
      <c r="F106" s="5">
        <v>131038.71</v>
      </c>
      <c r="G106" s="5">
        <v>0</v>
      </c>
      <c r="H106" s="5">
        <v>131038.71</v>
      </c>
      <c r="I106" s="58">
        <f t="shared" si="13"/>
        <v>387.00681690589022</v>
      </c>
      <c r="J106">
        <v>365</v>
      </c>
      <c r="K106" s="128" t="str">
        <f t="shared" si="16"/>
        <v>-</v>
      </c>
      <c r="L106" s="96">
        <f t="shared" si="17"/>
        <v>131038.71000000002</v>
      </c>
      <c r="M106" s="96">
        <f t="shared" si="18"/>
        <v>73096.55266154847</v>
      </c>
      <c r="N106" s="60"/>
      <c r="O106" s="60">
        <f>IFERROR(INDEX('Revised 2020 MFAM(2020 PYAs)'!U$20:U$269,MATCH(B106,'Revised 2020 MFAM(2020 PYAs)'!B$20:B$269,0)),0)</f>
        <v>-106.60952057114628</v>
      </c>
      <c r="P106" s="60">
        <f>IFERROR(INDEX('Revised 2020 MFAM(2019 PYAs)'!AF$26:AF$274,MATCH(B106,'Revised 2020 MFAM(2019 PYAs)'!B$26:B$274,0)),0)</f>
        <v>-0.59144657282740809</v>
      </c>
      <c r="Q106" s="60">
        <f t="shared" si="19"/>
        <v>-2.0477154763473449</v>
      </c>
      <c r="R106" s="60">
        <f t="shared" si="20"/>
        <v>-109.24868262032103</v>
      </c>
      <c r="S106" s="60"/>
      <c r="T106" s="108">
        <f t="shared" si="25"/>
        <v>72987.303978928147</v>
      </c>
      <c r="U106" s="109">
        <v>0</v>
      </c>
      <c r="V106" s="110">
        <f t="shared" si="14"/>
        <v>0</v>
      </c>
      <c r="W106" s="60">
        <f t="shared" si="15"/>
        <v>72987.303978928147</v>
      </c>
      <c r="X106" s="62"/>
      <c r="Y106" s="60">
        <f t="shared" si="21"/>
        <v>18246.825994732037</v>
      </c>
      <c r="Z106" s="60">
        <f t="shared" si="22"/>
        <v>18246.825994732037</v>
      </c>
      <c r="AA106" s="60">
        <f t="shared" si="23"/>
        <v>18246.825994732037</v>
      </c>
      <c r="AB106" s="60">
        <f t="shared" si="24"/>
        <v>18246.825994732037</v>
      </c>
    </row>
    <row r="107" spans="2:28" x14ac:dyDescent="0.35">
      <c r="B107">
        <v>970</v>
      </c>
      <c r="C107" s="17">
        <v>6</v>
      </c>
      <c r="D107" s="22" t="s">
        <v>124</v>
      </c>
      <c r="E107" s="90">
        <v>169.71011231601813</v>
      </c>
      <c r="F107" s="5">
        <v>76176.78</v>
      </c>
      <c r="G107" s="5">
        <v>370</v>
      </c>
      <c r="H107" s="5">
        <v>75806.78</v>
      </c>
      <c r="I107" s="58">
        <f t="shared" si="13"/>
        <v>446.68393041211226</v>
      </c>
      <c r="J107">
        <v>365</v>
      </c>
      <c r="K107" s="128" t="str">
        <f t="shared" si="16"/>
        <v>-</v>
      </c>
      <c r="L107" s="96">
        <f t="shared" si="17"/>
        <v>75806.78</v>
      </c>
      <c r="M107" s="96">
        <f t="shared" si="18"/>
        <v>42286.850094696587</v>
      </c>
      <c r="N107" s="60"/>
      <c r="O107" s="60">
        <f>IFERROR(INDEX('Revised 2020 MFAM(2020 PYAs)'!U$20:U$269,MATCH(B107,'Revised 2020 MFAM(2020 PYAs)'!B$20:B$269,0)),0)</f>
        <v>-61.443757521163207</v>
      </c>
      <c r="P107" s="60">
        <f>IFERROR(INDEX('Revised 2020 MFAM(2019 PYAs)'!AF$26:AF$274,MATCH(B107,'Revised 2020 MFAM(2019 PYAs)'!B$26:B$274,0)),0)</f>
        <v>-0.32343213009880856</v>
      </c>
      <c r="Q107" s="60">
        <f t="shared" si="19"/>
        <v>-1.1846172525512375</v>
      </c>
      <c r="R107" s="60">
        <f t="shared" si="20"/>
        <v>-62.95180690381325</v>
      </c>
      <c r="S107" s="60"/>
      <c r="T107" s="108">
        <f t="shared" si="25"/>
        <v>42223.89828779277</v>
      </c>
      <c r="U107" s="109">
        <v>0</v>
      </c>
      <c r="V107" s="110">
        <f t="shared" si="14"/>
        <v>0</v>
      </c>
      <c r="W107" s="60">
        <f t="shared" si="15"/>
        <v>42223.89828779277</v>
      </c>
      <c r="X107" s="62"/>
      <c r="Y107" s="60">
        <f t="shared" si="21"/>
        <v>10555.974571948193</v>
      </c>
      <c r="Z107" s="60">
        <f t="shared" si="22"/>
        <v>10555.974571948193</v>
      </c>
      <c r="AA107" s="60">
        <f t="shared" si="23"/>
        <v>10555.974571948193</v>
      </c>
      <c r="AB107" s="60">
        <f t="shared" si="24"/>
        <v>10555.974571948193</v>
      </c>
    </row>
    <row r="108" spans="2:28" x14ac:dyDescent="0.35">
      <c r="B108">
        <v>980</v>
      </c>
      <c r="C108" s="17">
        <v>6</v>
      </c>
      <c r="D108" s="22" t="s">
        <v>125</v>
      </c>
      <c r="E108" s="90">
        <v>39.14582118074582</v>
      </c>
      <c r="F108" s="5">
        <v>45165.55</v>
      </c>
      <c r="G108" s="5">
        <v>0</v>
      </c>
      <c r="H108" s="5">
        <v>45165.55</v>
      </c>
      <c r="I108" s="58">
        <f t="shared" si="13"/>
        <v>1153.7770479116948</v>
      </c>
      <c r="J108">
        <v>365</v>
      </c>
      <c r="K108" s="128" t="str">
        <f t="shared" si="16"/>
        <v>-</v>
      </c>
      <c r="L108" s="96">
        <f t="shared" si="17"/>
        <v>45165.55</v>
      </c>
      <c r="M108" s="96">
        <f t="shared" si="18"/>
        <v>25194.433034809335</v>
      </c>
      <c r="N108" s="60"/>
      <c r="O108" s="60">
        <f>IFERROR(INDEX('Revised 2020 MFAM(2020 PYAs)'!U$20:U$269,MATCH(B108,'Revised 2020 MFAM(2020 PYAs)'!B$20:B$269,0)),0)</f>
        <v>-33.501747274243826</v>
      </c>
      <c r="P108" s="60">
        <f>IFERROR(INDEX('Revised 2020 MFAM(2019 PYAs)'!AF$26:AF$274,MATCH(B108,'Revised 2020 MFAM(2019 PYAs)'!B$26:B$274,0)),0)</f>
        <v>0</v>
      </c>
      <c r="Q108" s="60">
        <f t="shared" si="19"/>
        <v>-0.70579293502461848</v>
      </c>
      <c r="R108" s="60">
        <f t="shared" si="20"/>
        <v>-34.207540209268444</v>
      </c>
      <c r="S108" s="60"/>
      <c r="T108" s="108">
        <f t="shared" si="25"/>
        <v>25160.225494600068</v>
      </c>
      <c r="U108" s="109">
        <v>0</v>
      </c>
      <c r="V108" s="110">
        <f t="shared" si="14"/>
        <v>0</v>
      </c>
      <c r="W108" s="60">
        <f t="shared" si="15"/>
        <v>25160.225494600068</v>
      </c>
      <c r="X108" s="62"/>
      <c r="Y108" s="60">
        <f t="shared" si="21"/>
        <v>6290.0563736500171</v>
      </c>
      <c r="Z108" s="60">
        <f t="shared" si="22"/>
        <v>6290.0563736500171</v>
      </c>
      <c r="AA108" s="60">
        <f t="shared" si="23"/>
        <v>6290.0563736500171</v>
      </c>
      <c r="AB108" s="60">
        <f t="shared" si="24"/>
        <v>6290.0563736500171</v>
      </c>
    </row>
    <row r="109" spans="2:28" x14ac:dyDescent="0.35">
      <c r="B109">
        <v>986</v>
      </c>
      <c r="C109" s="17">
        <v>6</v>
      </c>
      <c r="D109" s="22" t="s">
        <v>126</v>
      </c>
      <c r="E109" s="90">
        <v>3.9963581296238244</v>
      </c>
      <c r="F109" s="5">
        <v>45046.07</v>
      </c>
      <c r="G109" s="5">
        <v>0</v>
      </c>
      <c r="H109" s="5">
        <v>45046.07</v>
      </c>
      <c r="I109" s="58">
        <f t="shared" si="13"/>
        <v>11271.780090499589</v>
      </c>
      <c r="J109">
        <v>365</v>
      </c>
      <c r="K109" s="128" t="str">
        <f t="shared" si="16"/>
        <v>-</v>
      </c>
      <c r="L109" s="96">
        <f t="shared" si="17"/>
        <v>45046.07</v>
      </c>
      <c r="M109" s="96">
        <f t="shared" si="18"/>
        <v>25127.784209343929</v>
      </c>
      <c r="N109" s="60"/>
      <c r="O109" s="60">
        <f>IFERROR(INDEX('Revised 2020 MFAM(2020 PYAs)'!U$20:U$269,MATCH(B109,'Revised 2020 MFAM(2020 PYAs)'!B$20:B$269,0)),0)</f>
        <v>-36.436205209687614</v>
      </c>
      <c r="P109" s="60">
        <f>IFERROR(INDEX('Revised 2020 MFAM(2019 PYAs)'!AF$26:AF$274,MATCH(B109,'Revised 2020 MFAM(2019 PYAs)'!B$26:B$274,0)),0)</f>
        <v>-4.9456695535809558E-2</v>
      </c>
      <c r="Q109" s="60">
        <f t="shared" si="19"/>
        <v>-0.70392584517678658</v>
      </c>
      <c r="R109" s="60">
        <f t="shared" si="20"/>
        <v>-37.189587750400207</v>
      </c>
      <c r="S109" s="60"/>
      <c r="T109" s="108">
        <f t="shared" si="25"/>
        <v>25090.594621593529</v>
      </c>
      <c r="U109" s="109">
        <v>0</v>
      </c>
      <c r="V109" s="110">
        <f t="shared" si="14"/>
        <v>0</v>
      </c>
      <c r="W109" s="60">
        <f t="shared" si="15"/>
        <v>25090.594621593529</v>
      </c>
      <c r="X109" s="62"/>
      <c r="Y109" s="60">
        <f t="shared" si="21"/>
        <v>6272.6486553983823</v>
      </c>
      <c r="Z109" s="60">
        <f t="shared" si="22"/>
        <v>6272.6486553983823</v>
      </c>
      <c r="AA109" s="60">
        <f t="shared" si="23"/>
        <v>6272.6486553983823</v>
      </c>
      <c r="AB109" s="60">
        <f t="shared" si="24"/>
        <v>6272.6486553983823</v>
      </c>
    </row>
    <row r="110" spans="2:28" x14ac:dyDescent="0.35">
      <c r="B110">
        <v>988</v>
      </c>
      <c r="C110" s="17">
        <v>6</v>
      </c>
      <c r="D110" s="22" t="s">
        <v>127</v>
      </c>
      <c r="E110" s="90">
        <v>76.705503595032013</v>
      </c>
      <c r="F110" s="5">
        <v>131938.04</v>
      </c>
      <c r="G110" s="5">
        <v>14</v>
      </c>
      <c r="H110" s="5">
        <v>131924.04</v>
      </c>
      <c r="I110" s="58">
        <f t="shared" si="13"/>
        <v>1719.8771120322106</v>
      </c>
      <c r="J110">
        <v>365</v>
      </c>
      <c r="K110" s="128" t="str">
        <f t="shared" si="16"/>
        <v>-</v>
      </c>
      <c r="L110" s="96">
        <f t="shared" si="17"/>
        <v>131924.04</v>
      </c>
      <c r="M110" s="96">
        <f t="shared" si="18"/>
        <v>73590.411086801963</v>
      </c>
      <c r="N110" s="60"/>
      <c r="O110" s="60">
        <f>IFERROR(INDEX('Revised 2020 MFAM(2020 PYAs)'!U$20:U$269,MATCH(B110,'Revised 2020 MFAM(2020 PYAs)'!B$20:B$269,0)),0)</f>
        <v>-109.49235417939053</v>
      </c>
      <c r="P110" s="60">
        <f>IFERROR(INDEX('Revised 2020 MFAM(2019 PYAs)'!AF$26:AF$274,MATCH(B110,'Revised 2020 MFAM(2019 PYAs)'!B$26:B$274,0)),0)</f>
        <v>-0.61127960160956718</v>
      </c>
      <c r="Q110" s="60">
        <f t="shared" si="19"/>
        <v>-2.0615503495895693</v>
      </c>
      <c r="R110" s="60">
        <f t="shared" si="20"/>
        <v>-112.16518413058967</v>
      </c>
      <c r="S110" s="60"/>
      <c r="T110" s="108">
        <f t="shared" si="25"/>
        <v>73478.245902671377</v>
      </c>
      <c r="U110" s="109">
        <v>0</v>
      </c>
      <c r="V110" s="110">
        <f t="shared" si="14"/>
        <v>0</v>
      </c>
      <c r="W110" s="60">
        <f t="shared" si="15"/>
        <v>73478.245902671377</v>
      </c>
      <c r="X110" s="62"/>
      <c r="Y110" s="60">
        <f t="shared" si="21"/>
        <v>18369.561475667844</v>
      </c>
      <c r="Z110" s="60">
        <f t="shared" si="22"/>
        <v>18369.561475667844</v>
      </c>
      <c r="AA110" s="60">
        <f t="shared" si="23"/>
        <v>18369.561475667844</v>
      </c>
      <c r="AB110" s="60">
        <f t="shared" si="24"/>
        <v>18369.561475667844</v>
      </c>
    </row>
    <row r="111" spans="2:28" x14ac:dyDescent="0.35">
      <c r="B111">
        <v>989</v>
      </c>
      <c r="C111" s="17">
        <v>6</v>
      </c>
      <c r="D111" s="22" t="s">
        <v>128</v>
      </c>
      <c r="E111" s="90">
        <v>172.73226926457707</v>
      </c>
      <c r="F111" s="5">
        <v>292858.95</v>
      </c>
      <c r="G111" s="5">
        <v>26334.129999999997</v>
      </c>
      <c r="H111" s="5">
        <v>266524.82</v>
      </c>
      <c r="I111" s="58">
        <f t="shared" si="13"/>
        <v>1542.9937969017199</v>
      </c>
      <c r="J111">
        <v>365</v>
      </c>
      <c r="K111" s="128" t="str">
        <f t="shared" si="16"/>
        <v>-</v>
      </c>
      <c r="L111" s="96">
        <f t="shared" si="17"/>
        <v>266524.82</v>
      </c>
      <c r="M111" s="96">
        <f t="shared" si="18"/>
        <v>148673.97229978626</v>
      </c>
      <c r="N111" s="60"/>
      <c r="O111" s="60">
        <f>IFERROR(INDEX('Revised 2020 MFAM(2020 PYAs)'!U$20:U$269,MATCH(B111,'Revised 2020 MFAM(2020 PYAs)'!B$20:B$269,0)),0)</f>
        <v>-7557.4941986299527</v>
      </c>
      <c r="P111" s="60">
        <f>IFERROR(INDEX('Revised 2020 MFAM(2019 PYAs)'!AF$26:AF$274,MATCH(B111,'Revised 2020 MFAM(2019 PYAs)'!B$26:B$274,0)),0)</f>
        <v>-1.0836485890031327</v>
      </c>
      <c r="Q111" s="60">
        <f t="shared" si="19"/>
        <v>-4.1649295749682693</v>
      </c>
      <c r="R111" s="60">
        <f t="shared" si="20"/>
        <v>-7562.7427767939243</v>
      </c>
      <c r="S111" s="60"/>
      <c r="T111" s="108">
        <f t="shared" si="25"/>
        <v>141111.22952299233</v>
      </c>
      <c r="U111" s="109">
        <v>0</v>
      </c>
      <c r="V111" s="110">
        <f t="shared" si="14"/>
        <v>0</v>
      </c>
      <c r="W111" s="60">
        <f t="shared" si="15"/>
        <v>141111.22952299233</v>
      </c>
      <c r="X111" s="62"/>
      <c r="Y111" s="60">
        <f t="shared" si="21"/>
        <v>35277.807380748083</v>
      </c>
      <c r="Z111" s="60">
        <f t="shared" si="22"/>
        <v>35277.807380748083</v>
      </c>
      <c r="AA111" s="60">
        <f t="shared" si="23"/>
        <v>35277.807380748083</v>
      </c>
      <c r="AB111" s="60">
        <f t="shared" si="24"/>
        <v>35277.807380748083</v>
      </c>
    </row>
    <row r="112" spans="2:28" x14ac:dyDescent="0.35">
      <c r="B112">
        <v>39</v>
      </c>
      <c r="C112" s="17">
        <v>7</v>
      </c>
      <c r="D112" s="22" t="s">
        <v>129</v>
      </c>
      <c r="E112" s="90">
        <v>253.36</v>
      </c>
      <c r="F112" s="5">
        <v>187933.9</v>
      </c>
      <c r="G112" s="5">
        <v>951.67</v>
      </c>
      <c r="H112" s="5">
        <v>186982.22999999998</v>
      </c>
      <c r="I112" s="58">
        <f t="shared" si="13"/>
        <v>738.01006473002826</v>
      </c>
      <c r="J112">
        <v>365</v>
      </c>
      <c r="K112" s="128" t="str">
        <f t="shared" si="16"/>
        <v>-</v>
      </c>
      <c r="L112" s="96">
        <f t="shared" si="17"/>
        <v>186982.22999999998</v>
      </c>
      <c r="M112" s="96">
        <f t="shared" si="18"/>
        <v>104303.19729161532</v>
      </c>
      <c r="N112" s="60"/>
      <c r="O112" s="60">
        <f>IFERROR(INDEX('Revised 2020 MFAM(2020 PYAs)'!U$20:U$269,MATCH(B112,'Revised 2020 MFAM(2020 PYAs)'!B$20:B$269,0)),0)</f>
        <v>-2721.9228523995771</v>
      </c>
      <c r="P112" s="60">
        <f>IFERROR(INDEX('Revised 2020 MFAM(2019 PYAs)'!AF$26:AF$274,MATCH(B112,'Revised 2020 MFAM(2019 PYAs)'!B$26:B$274,0)),0)</f>
        <v>-0.5911328456713818</v>
      </c>
      <c r="Q112" s="60">
        <f t="shared" si="19"/>
        <v>-2.9219335734680136</v>
      </c>
      <c r="R112" s="60">
        <f t="shared" si="20"/>
        <v>-2725.4359188187163</v>
      </c>
      <c r="S112" s="60"/>
      <c r="T112" s="108">
        <f t="shared" si="25"/>
        <v>101577.76137279659</v>
      </c>
      <c r="U112" s="109">
        <v>0</v>
      </c>
      <c r="V112" s="110">
        <f t="shared" si="14"/>
        <v>0</v>
      </c>
      <c r="W112" s="60">
        <f t="shared" si="15"/>
        <v>101577.76137279659</v>
      </c>
      <c r="X112" s="62"/>
      <c r="Y112" s="60">
        <f t="shared" si="21"/>
        <v>25394.440343199149</v>
      </c>
      <c r="Z112" s="60">
        <f t="shared" si="22"/>
        <v>25394.440343199149</v>
      </c>
      <c r="AA112" s="60">
        <f t="shared" si="23"/>
        <v>25394.440343199149</v>
      </c>
      <c r="AB112" s="60">
        <f t="shared" si="24"/>
        <v>25394.440343199149</v>
      </c>
    </row>
    <row r="113" spans="2:28" x14ac:dyDescent="0.35">
      <c r="B113">
        <v>59</v>
      </c>
      <c r="C113" s="17">
        <v>7</v>
      </c>
      <c r="D113" s="22" t="s">
        <v>130</v>
      </c>
      <c r="E113" s="90">
        <v>224.73470165236895</v>
      </c>
      <c r="F113" s="5">
        <v>156228.22</v>
      </c>
      <c r="G113" s="5">
        <v>0</v>
      </c>
      <c r="H113" s="5">
        <v>156228.22</v>
      </c>
      <c r="I113" s="58">
        <f t="shared" si="13"/>
        <v>695.16731884896774</v>
      </c>
      <c r="J113">
        <v>365</v>
      </c>
      <c r="K113" s="128" t="str">
        <f t="shared" si="16"/>
        <v>-</v>
      </c>
      <c r="L113" s="96">
        <f t="shared" si="17"/>
        <v>156228.22</v>
      </c>
      <c r="M113" s="96">
        <f t="shared" si="18"/>
        <v>87147.868827844679</v>
      </c>
      <c r="N113" s="60"/>
      <c r="O113" s="60">
        <f>IFERROR(INDEX('Revised 2020 MFAM(2020 PYAs)'!U$20:U$269,MATCH(B113,'Revised 2020 MFAM(2020 PYAs)'!B$20:B$269,0)),0)</f>
        <v>-151.45086651892052</v>
      </c>
      <c r="P113" s="60">
        <f>IFERROR(INDEX('Revised 2020 MFAM(2019 PYAs)'!AF$26:AF$274,MATCH(B113,'Revised 2020 MFAM(2019 PYAs)'!B$26:B$274,0)),0)</f>
        <v>3.0386616239338764</v>
      </c>
      <c r="Q113" s="60">
        <f t="shared" si="19"/>
        <v>-2.441346865641441</v>
      </c>
      <c r="R113" s="60">
        <f t="shared" si="20"/>
        <v>-150.85355176062808</v>
      </c>
      <c r="S113" s="60"/>
      <c r="T113" s="108">
        <f t="shared" si="25"/>
        <v>86997.015276084057</v>
      </c>
      <c r="U113" s="109">
        <v>0</v>
      </c>
      <c r="V113" s="110">
        <f t="shared" si="14"/>
        <v>0</v>
      </c>
      <c r="W113" s="60">
        <f t="shared" si="15"/>
        <v>86997.015276084057</v>
      </c>
      <c r="X113" s="62"/>
      <c r="Y113" s="60">
        <f t="shared" si="21"/>
        <v>21749.253819021014</v>
      </c>
      <c r="Z113" s="60">
        <f t="shared" si="22"/>
        <v>21749.253819021014</v>
      </c>
      <c r="AA113" s="60">
        <f t="shared" si="23"/>
        <v>21749.253819021014</v>
      </c>
      <c r="AB113" s="60">
        <f t="shared" si="24"/>
        <v>21749.253819021014</v>
      </c>
    </row>
    <row r="114" spans="2:28" x14ac:dyDescent="0.35">
      <c r="B114">
        <v>128</v>
      </c>
      <c r="C114" s="17">
        <v>7</v>
      </c>
      <c r="D114" s="22" t="s">
        <v>131</v>
      </c>
      <c r="E114" s="90">
        <v>135.00863958903548</v>
      </c>
      <c r="F114" s="5">
        <v>126683.53</v>
      </c>
      <c r="G114" s="5">
        <v>265.5</v>
      </c>
      <c r="H114" s="5">
        <v>126418.03</v>
      </c>
      <c r="I114" s="58">
        <f t="shared" si="13"/>
        <v>936.36992702700218</v>
      </c>
      <c r="J114">
        <v>365</v>
      </c>
      <c r="K114" s="128" t="str">
        <f t="shared" si="16"/>
        <v>-</v>
      </c>
      <c r="L114" s="96">
        <f t="shared" si="17"/>
        <v>126418.03000000001</v>
      </c>
      <c r="M114" s="96">
        <f t="shared" si="18"/>
        <v>70519.025921914334</v>
      </c>
      <c r="N114" s="60"/>
      <c r="O114" s="60">
        <f>IFERROR(INDEX('Revised 2020 MFAM(2020 PYAs)'!U$20:U$269,MATCH(B114,'Revised 2020 MFAM(2020 PYAs)'!B$20:B$269,0)),0)</f>
        <v>-96.366862823771953</v>
      </c>
      <c r="P114" s="60">
        <f>IFERROR(INDEX('Revised 2020 MFAM(2019 PYAs)'!AF$26:AF$274,MATCH(B114,'Revised 2020 MFAM(2019 PYAs)'!B$26:B$274,0)),0)</f>
        <v>-0.37792678028927185</v>
      </c>
      <c r="Q114" s="60">
        <f t="shared" si="19"/>
        <v>-1.9755090424832704</v>
      </c>
      <c r="R114" s="60">
        <f t="shared" si="20"/>
        <v>-98.720298646544492</v>
      </c>
      <c r="S114" s="60"/>
      <c r="T114" s="108">
        <f t="shared" si="25"/>
        <v>70420.305623267792</v>
      </c>
      <c r="U114" s="109">
        <v>0</v>
      </c>
      <c r="V114" s="110">
        <f t="shared" si="14"/>
        <v>0</v>
      </c>
      <c r="W114" s="60">
        <f t="shared" si="15"/>
        <v>70420.305623267792</v>
      </c>
      <c r="X114" s="62"/>
      <c r="Y114" s="60">
        <f t="shared" si="21"/>
        <v>17605.076405816948</v>
      </c>
      <c r="Z114" s="60">
        <f t="shared" si="22"/>
        <v>17605.076405816948</v>
      </c>
      <c r="AA114" s="60">
        <f t="shared" si="23"/>
        <v>17605.076405816948</v>
      </c>
      <c r="AB114" s="60">
        <f t="shared" si="24"/>
        <v>17605.076405816948</v>
      </c>
    </row>
    <row r="115" spans="2:28" x14ac:dyDescent="0.35">
      <c r="B115">
        <v>152</v>
      </c>
      <c r="C115" s="17">
        <v>7</v>
      </c>
      <c r="D115" s="22" t="s">
        <v>132</v>
      </c>
      <c r="E115" s="90">
        <v>339.4486684621404</v>
      </c>
      <c r="F115" s="5">
        <v>190988.5</v>
      </c>
      <c r="G115" s="5">
        <v>0</v>
      </c>
      <c r="H115" s="5">
        <v>190988.5</v>
      </c>
      <c r="I115" s="58">
        <f t="shared" si="13"/>
        <v>562.64324401467331</v>
      </c>
      <c r="J115">
        <v>273</v>
      </c>
      <c r="K115" s="128">
        <f t="shared" si="16"/>
        <v>45200</v>
      </c>
      <c r="L115" s="96">
        <f t="shared" si="17"/>
        <v>142848.93287671232</v>
      </c>
      <c r="M115" s="96">
        <f t="shared" si="18"/>
        <v>79684.57980598713</v>
      </c>
      <c r="N115" s="60"/>
      <c r="O115" s="60">
        <f>IFERROR(INDEX('Revised 2020 MFAM(2020 PYAs)'!U$20:U$269,MATCH(B115,'Revised 2020 MFAM(2020 PYAs)'!B$20:B$269,0)),0)</f>
        <v>-149.17199068993796</v>
      </c>
      <c r="P115" s="60">
        <f>IFERROR(INDEX('Revised 2020 MFAM(2019 PYAs)'!AF$26:AF$274,MATCH(B115,'Revised 2020 MFAM(2019 PYAs)'!B$26:B$274,0)),0)</f>
        <v>-0.9165068843140034</v>
      </c>
      <c r="Q115" s="60">
        <f t="shared" si="19"/>
        <v>-2.2322714458296091</v>
      </c>
      <c r="R115" s="60">
        <f t="shared" si="20"/>
        <v>-152.32076902008157</v>
      </c>
      <c r="S115" s="60"/>
      <c r="T115" s="108">
        <f t="shared" si="25"/>
        <v>79532.259036967051</v>
      </c>
      <c r="U115" s="109">
        <v>0</v>
      </c>
      <c r="V115" s="110">
        <f t="shared" si="14"/>
        <v>0</v>
      </c>
      <c r="W115" s="60">
        <f t="shared" si="15"/>
        <v>79532.259036967051</v>
      </c>
      <c r="X115" s="62"/>
      <c r="Y115" s="60">
        <f t="shared" si="21"/>
        <v>26510.753012322351</v>
      </c>
      <c r="Z115" s="60">
        <f t="shared" si="22"/>
        <v>26510.753012322351</v>
      </c>
      <c r="AA115" s="60">
        <f t="shared" si="23"/>
        <v>26510.753012322351</v>
      </c>
      <c r="AB115" s="60">
        <f t="shared" si="24"/>
        <v>0</v>
      </c>
    </row>
    <row r="116" spans="2:28" x14ac:dyDescent="0.35">
      <c r="B116">
        <v>162</v>
      </c>
      <c r="C116" s="17">
        <v>7</v>
      </c>
      <c r="D116" s="22" t="s">
        <v>133</v>
      </c>
      <c r="E116" s="90">
        <v>1197.1099999999999</v>
      </c>
      <c r="F116" s="5">
        <v>505251.35</v>
      </c>
      <c r="G116" s="5">
        <v>55722.71</v>
      </c>
      <c r="H116" s="5">
        <v>449528.63999999996</v>
      </c>
      <c r="I116" s="58">
        <f t="shared" si="13"/>
        <v>375.51155699977443</v>
      </c>
      <c r="J116">
        <v>273</v>
      </c>
      <c r="K116" s="128">
        <f t="shared" si="16"/>
        <v>45200</v>
      </c>
      <c r="L116" s="96">
        <f t="shared" si="17"/>
        <v>336222.79101369856</v>
      </c>
      <c r="M116" s="96">
        <f t="shared" si="18"/>
        <v>187553.18141750342</v>
      </c>
      <c r="N116" s="60"/>
      <c r="O116" s="60">
        <f>IFERROR(INDEX('Revised 2020 MFAM(2020 PYAs)'!U$20:U$269,MATCH(B116,'Revised 2020 MFAM(2020 PYAs)'!B$20:B$269,0)),0)</f>
        <v>2868.6921293557971</v>
      </c>
      <c r="P116" s="60">
        <f>IFERROR(INDEX('Revised 2020 MFAM(2019 PYAs)'!AF$26:AF$274,MATCH(B116,'Revised 2020 MFAM(2019 PYAs)'!B$26:B$274,0)),0)</f>
        <v>-1.8591207072895486</v>
      </c>
      <c r="Q116" s="60">
        <f t="shared" si="19"/>
        <v>-5.2540857023046819</v>
      </c>
      <c r="R116" s="60">
        <f t="shared" si="20"/>
        <v>2861.578922946203</v>
      </c>
      <c r="S116" s="60"/>
      <c r="T116" s="108">
        <f t="shared" si="25"/>
        <v>190414.76034044963</v>
      </c>
      <c r="U116" s="109">
        <v>0</v>
      </c>
      <c r="V116" s="110">
        <f t="shared" si="14"/>
        <v>0</v>
      </c>
      <c r="W116" s="60">
        <f t="shared" si="15"/>
        <v>190414.76034044963</v>
      </c>
      <c r="X116" s="62"/>
      <c r="Y116" s="60">
        <f t="shared" si="21"/>
        <v>63471.586780149875</v>
      </c>
      <c r="Z116" s="60">
        <f t="shared" si="22"/>
        <v>63471.586780149875</v>
      </c>
      <c r="AA116" s="60">
        <f t="shared" si="23"/>
        <v>63471.586780149875</v>
      </c>
      <c r="AB116" s="60">
        <f t="shared" si="24"/>
        <v>0</v>
      </c>
    </row>
    <row r="117" spans="2:28" x14ac:dyDescent="0.35">
      <c r="B117">
        <v>166</v>
      </c>
      <c r="C117" s="17">
        <v>7</v>
      </c>
      <c r="D117" s="22" t="s">
        <v>134</v>
      </c>
      <c r="E117" s="90">
        <v>726.77</v>
      </c>
      <c r="F117" s="5">
        <v>532703.84</v>
      </c>
      <c r="G117" s="5">
        <v>154957.79999999999</v>
      </c>
      <c r="H117" s="5">
        <v>377746.04</v>
      </c>
      <c r="I117" s="58">
        <f t="shared" si="13"/>
        <v>519.760089161633</v>
      </c>
      <c r="J117">
        <v>258</v>
      </c>
      <c r="K117" s="128">
        <f t="shared" si="16"/>
        <v>45185</v>
      </c>
      <c r="L117" s="96">
        <f t="shared" si="17"/>
        <v>267009.52964383562</v>
      </c>
      <c r="M117" s="96">
        <f t="shared" si="18"/>
        <v>148944.35502872331</v>
      </c>
      <c r="N117" s="60"/>
      <c r="O117" s="60">
        <f>IFERROR(INDEX('Revised 2020 MFAM(2020 PYAs)'!U$20:U$269,MATCH(B117,'Revised 2020 MFAM(2020 PYAs)'!B$20:B$269,0)),0)</f>
        <v>740.93441729521146</v>
      </c>
      <c r="P117" s="60">
        <f>IFERROR(INDEX('Revised 2020 MFAM(2019 PYAs)'!AF$26:AF$274,MATCH(B117,'Revised 2020 MFAM(2019 PYAs)'!B$26:B$274,0)),0)</f>
        <v>-1.9127317058155313</v>
      </c>
      <c r="Q117" s="60">
        <f t="shared" si="19"/>
        <v>-4.1725040347536027</v>
      </c>
      <c r="R117" s="60">
        <f t="shared" si="20"/>
        <v>734.84918155464231</v>
      </c>
      <c r="S117" s="60"/>
      <c r="T117" s="108">
        <f t="shared" si="25"/>
        <v>149679.20421027794</v>
      </c>
      <c r="U117" s="109">
        <v>0</v>
      </c>
      <c r="V117" s="110">
        <f t="shared" si="14"/>
        <v>0</v>
      </c>
      <c r="W117" s="60">
        <f t="shared" si="15"/>
        <v>149679.20421027794</v>
      </c>
      <c r="X117" s="62"/>
      <c r="Y117" s="60">
        <f t="shared" si="21"/>
        <v>49893.068070092646</v>
      </c>
      <c r="Z117" s="60">
        <f t="shared" si="22"/>
        <v>49893.068070092646</v>
      </c>
      <c r="AA117" s="60">
        <f t="shared" si="23"/>
        <v>49893.068070092646</v>
      </c>
      <c r="AB117" s="60">
        <f t="shared" si="24"/>
        <v>0</v>
      </c>
    </row>
    <row r="118" spans="2:28" x14ac:dyDescent="0.35">
      <c r="B118">
        <v>192</v>
      </c>
      <c r="C118" s="17">
        <v>7</v>
      </c>
      <c r="D118" s="22" t="s">
        <v>135</v>
      </c>
      <c r="E118" s="90">
        <v>262.19999999999993</v>
      </c>
      <c r="F118" s="5">
        <v>199787.85</v>
      </c>
      <c r="G118" s="5">
        <v>50028.320000000007</v>
      </c>
      <c r="H118" s="5">
        <v>149759.53</v>
      </c>
      <c r="I118" s="58">
        <f t="shared" si="13"/>
        <v>571.1652555301298</v>
      </c>
      <c r="J118">
        <v>181</v>
      </c>
      <c r="K118" s="128">
        <f t="shared" si="16"/>
        <v>45108</v>
      </c>
      <c r="L118" s="96">
        <f t="shared" si="17"/>
        <v>74264.314876712335</v>
      </c>
      <c r="M118" s="96">
        <f t="shared" si="18"/>
        <v>41426.425849731124</v>
      </c>
      <c r="N118" s="60"/>
      <c r="O118" s="60">
        <f>IFERROR(INDEX('Revised 2020 MFAM(2020 PYAs)'!U$20:U$269,MATCH(B118,'Revised 2020 MFAM(2020 PYAs)'!B$20:B$269,0)),0)</f>
        <v>-122.00095085221983</v>
      </c>
      <c r="P118" s="60">
        <f>IFERROR(INDEX('Revised 2020 MFAM(2019 PYAs)'!AF$26:AF$274,MATCH(B118,'Revised 2020 MFAM(2019 PYAs)'!B$26:B$274,0)),0)</f>
        <v>-0.53986829808127368</v>
      </c>
      <c r="Q118" s="60">
        <f t="shared" si="19"/>
        <v>-1.1605134613533377</v>
      </c>
      <c r="R118" s="60">
        <f t="shared" si="20"/>
        <v>-123.70133261165444</v>
      </c>
      <c r="S118" s="60"/>
      <c r="T118" s="108">
        <f t="shared" si="25"/>
        <v>41302.724517119466</v>
      </c>
      <c r="U118" s="109">
        <v>0</v>
      </c>
      <c r="V118" s="110">
        <f t="shared" si="14"/>
        <v>0</v>
      </c>
      <c r="W118" s="60">
        <f t="shared" si="15"/>
        <v>41302.724517119466</v>
      </c>
      <c r="X118" s="62"/>
      <c r="Y118" s="60">
        <f t="shared" si="21"/>
        <v>20651.362258559733</v>
      </c>
      <c r="Z118" s="60">
        <f t="shared" si="22"/>
        <v>20651.362258559733</v>
      </c>
      <c r="AA118" s="60">
        <f t="shared" si="23"/>
        <v>0</v>
      </c>
      <c r="AB118" s="60">
        <f t="shared" si="24"/>
        <v>0</v>
      </c>
    </row>
    <row r="119" spans="2:28" x14ac:dyDescent="0.35">
      <c r="B119">
        <v>205</v>
      </c>
      <c r="C119" s="17">
        <v>7</v>
      </c>
      <c r="D119" s="22" t="s">
        <v>136</v>
      </c>
      <c r="E119" s="90">
        <v>550.85466891971043</v>
      </c>
      <c r="F119" s="5">
        <v>454657.84</v>
      </c>
      <c r="G119" s="5">
        <v>0</v>
      </c>
      <c r="H119" s="5">
        <v>454657.84</v>
      </c>
      <c r="I119" s="58">
        <f t="shared" si="13"/>
        <v>825.36804288440817</v>
      </c>
      <c r="J119">
        <v>365</v>
      </c>
      <c r="K119" s="128" t="str">
        <f t="shared" si="16"/>
        <v>-</v>
      </c>
      <c r="L119" s="96">
        <f t="shared" si="17"/>
        <v>454657.84000000008</v>
      </c>
      <c r="M119" s="96">
        <f t="shared" si="18"/>
        <v>253619.10800667896</v>
      </c>
      <c r="N119" s="60"/>
      <c r="O119" s="60">
        <f>IFERROR(INDEX('Revised 2020 MFAM(2020 PYAs)'!U$20:U$269,MATCH(B119,'Revised 2020 MFAM(2020 PYAs)'!B$20:B$269,0)),0)</f>
        <v>-2987.4993720381171</v>
      </c>
      <c r="P119" s="60">
        <f>IFERROR(INDEX('Revised 2020 MFAM(2019 PYAs)'!AF$26:AF$274,MATCH(B119,'Revised 2020 MFAM(2019 PYAs)'!B$26:B$274,0)),0)</f>
        <v>-1.7621764677460305</v>
      </c>
      <c r="Q119" s="60">
        <f t="shared" si="19"/>
        <v>-7.1048463115262273</v>
      </c>
      <c r="R119" s="60">
        <f t="shared" si="20"/>
        <v>-2996.3663948173894</v>
      </c>
      <c r="S119" s="60"/>
      <c r="T119" s="108">
        <f t="shared" si="25"/>
        <v>250622.74161186157</v>
      </c>
      <c r="U119" s="109">
        <v>0</v>
      </c>
      <c r="V119" s="110">
        <f t="shared" si="14"/>
        <v>0</v>
      </c>
      <c r="W119" s="60">
        <f t="shared" si="15"/>
        <v>250622.74161186157</v>
      </c>
      <c r="X119" s="62"/>
      <c r="Y119" s="60">
        <f t="shared" si="21"/>
        <v>62655.685402965391</v>
      </c>
      <c r="Z119" s="60">
        <f t="shared" si="22"/>
        <v>62655.685402965391</v>
      </c>
      <c r="AA119" s="60">
        <f t="shared" si="23"/>
        <v>62655.685402965391</v>
      </c>
      <c r="AB119" s="60">
        <f t="shared" si="24"/>
        <v>62655.685402965391</v>
      </c>
    </row>
    <row r="120" spans="2:28" x14ac:dyDescent="0.35">
      <c r="B120">
        <v>212</v>
      </c>
      <c r="C120" s="17">
        <v>7</v>
      </c>
      <c r="D120" s="22" t="s">
        <v>137</v>
      </c>
      <c r="E120" s="90">
        <v>412.7910843855214</v>
      </c>
      <c r="F120" s="5">
        <v>325454.98</v>
      </c>
      <c r="G120" s="5">
        <v>690</v>
      </c>
      <c r="H120" s="5">
        <v>324764.98</v>
      </c>
      <c r="I120" s="58">
        <f t="shared" si="13"/>
        <v>786.75386238887256</v>
      </c>
      <c r="J120">
        <v>273</v>
      </c>
      <c r="K120" s="128">
        <f t="shared" si="16"/>
        <v>45200</v>
      </c>
      <c r="L120" s="96">
        <f t="shared" si="17"/>
        <v>242906.4096986301</v>
      </c>
      <c r="M120" s="96">
        <f t="shared" si="18"/>
        <v>135499.0534351535</v>
      </c>
      <c r="N120" s="60"/>
      <c r="O120" s="60">
        <f>IFERROR(INDEX('Revised 2020 MFAM(2020 PYAs)'!U$20:U$269,MATCH(B120,'Revised 2020 MFAM(2020 PYAs)'!B$20:B$269,0)),0)</f>
        <v>-223.09634232339158</v>
      </c>
      <c r="P120" s="60">
        <f>IFERROR(INDEX('Revised 2020 MFAM(2019 PYAs)'!AF$26:AF$274,MATCH(B120,'Revised 2020 MFAM(2019 PYAs)'!B$26:B$274,0)),0)</f>
        <v>-1.0640306055138353</v>
      </c>
      <c r="Q120" s="60">
        <f t="shared" si="19"/>
        <v>-3.7958494436022279</v>
      </c>
      <c r="R120" s="60">
        <f t="shared" si="20"/>
        <v>-227.95622237250765</v>
      </c>
      <c r="S120" s="60"/>
      <c r="T120" s="108">
        <f t="shared" si="25"/>
        <v>135271.09721278099</v>
      </c>
      <c r="U120" s="109">
        <v>0</v>
      </c>
      <c r="V120" s="110">
        <f t="shared" si="14"/>
        <v>0</v>
      </c>
      <c r="W120" s="60">
        <f t="shared" si="15"/>
        <v>135271.09721278099</v>
      </c>
      <c r="X120" s="62"/>
      <c r="Y120" s="60">
        <f t="shared" si="21"/>
        <v>45090.365737593667</v>
      </c>
      <c r="Z120" s="60">
        <f t="shared" si="22"/>
        <v>45090.365737593667</v>
      </c>
      <c r="AA120" s="60">
        <f t="shared" si="23"/>
        <v>45090.365737593667</v>
      </c>
      <c r="AB120" s="60">
        <f t="shared" si="24"/>
        <v>0</v>
      </c>
    </row>
    <row r="121" spans="2:28" x14ac:dyDescent="0.35">
      <c r="B121">
        <v>216</v>
      </c>
      <c r="C121" s="17">
        <v>7</v>
      </c>
      <c r="D121" s="22" t="s">
        <v>138</v>
      </c>
      <c r="E121" s="90">
        <v>906.27</v>
      </c>
      <c r="F121" s="5">
        <v>427884.24</v>
      </c>
      <c r="G121" s="5">
        <v>102254.19</v>
      </c>
      <c r="H121" s="5">
        <v>325630.05</v>
      </c>
      <c r="I121" s="58">
        <f t="shared" si="13"/>
        <v>359.30798768578899</v>
      </c>
      <c r="J121">
        <v>272</v>
      </c>
      <c r="K121" s="128">
        <f t="shared" si="16"/>
        <v>45199</v>
      </c>
      <c r="L121" s="96">
        <f t="shared" si="17"/>
        <v>242661.29753424655</v>
      </c>
      <c r="M121" s="96">
        <f t="shared" si="18"/>
        <v>135362.32395855951</v>
      </c>
      <c r="N121" s="60"/>
      <c r="O121" s="60">
        <f>IFERROR(INDEX('Revised 2020 MFAM(2020 PYAs)'!U$20:U$269,MATCH(B121,'Revised 2020 MFAM(2020 PYAs)'!B$20:B$269,0)),0)</f>
        <v>-296.9801654490584</v>
      </c>
      <c r="P121" s="60">
        <f>IFERROR(INDEX('Revised 2020 MFAM(2019 PYAs)'!AF$26:AF$274,MATCH(B121,'Revised 2020 MFAM(2019 PYAs)'!B$26:B$274,0)),0)</f>
        <v>-1.4611228888097685</v>
      </c>
      <c r="Q121" s="60">
        <f t="shared" si="19"/>
        <v>-3.7920191252753055</v>
      </c>
      <c r="R121" s="60">
        <f t="shared" si="20"/>
        <v>-302.23330746314349</v>
      </c>
      <c r="S121" s="60"/>
      <c r="T121" s="108">
        <f t="shared" si="25"/>
        <v>135060.09065109637</v>
      </c>
      <c r="U121" s="109">
        <v>0</v>
      </c>
      <c r="V121" s="110">
        <f t="shared" si="14"/>
        <v>0</v>
      </c>
      <c r="W121" s="60">
        <f t="shared" si="15"/>
        <v>135060.09065109637</v>
      </c>
      <c r="X121" s="62"/>
      <c r="Y121" s="60">
        <f t="shared" si="21"/>
        <v>45020.030217032123</v>
      </c>
      <c r="Z121" s="60">
        <f t="shared" si="22"/>
        <v>45020.030217032123</v>
      </c>
      <c r="AA121" s="60">
        <f t="shared" si="23"/>
        <v>45020.030217032123</v>
      </c>
      <c r="AB121" s="60">
        <f t="shared" si="24"/>
        <v>0</v>
      </c>
    </row>
    <row r="122" spans="2:28" x14ac:dyDescent="0.35">
      <c r="B122">
        <v>229</v>
      </c>
      <c r="C122" s="17">
        <v>7</v>
      </c>
      <c r="D122" s="22" t="s">
        <v>139</v>
      </c>
      <c r="E122" s="90">
        <v>835.5200000000001</v>
      </c>
      <c r="F122" s="5">
        <v>485038.41</v>
      </c>
      <c r="G122" s="5">
        <v>159801.26999999999</v>
      </c>
      <c r="H122" s="5">
        <v>325237.14</v>
      </c>
      <c r="I122" s="58">
        <f t="shared" si="13"/>
        <v>389.26314151666026</v>
      </c>
      <c r="J122">
        <v>181</v>
      </c>
      <c r="K122" s="128">
        <f t="shared" si="16"/>
        <v>45108</v>
      </c>
      <c r="L122" s="96">
        <f t="shared" si="17"/>
        <v>161281.97901369864</v>
      </c>
      <c r="M122" s="96">
        <f t="shared" si="18"/>
        <v>89966.977485764146</v>
      </c>
      <c r="N122" s="60"/>
      <c r="O122" s="60">
        <f>IFERROR(INDEX('Revised 2020 MFAM(2020 PYAs)'!U$20:U$269,MATCH(B122,'Revised 2020 MFAM(2020 PYAs)'!B$20:B$269,0)),0)</f>
        <v>-2361.8084975570091</v>
      </c>
      <c r="P122" s="60">
        <f>IFERROR(INDEX('Revised 2020 MFAM(2019 PYAs)'!AF$26:AF$274,MATCH(B122,'Revised 2020 MFAM(2019 PYAs)'!B$26:B$274,0)),0)</f>
        <v>-2.0838910996390041</v>
      </c>
      <c r="Q122" s="60">
        <f t="shared" si="19"/>
        <v>-2.5203209378532372</v>
      </c>
      <c r="R122" s="60">
        <f t="shared" si="20"/>
        <v>-2366.4127095945014</v>
      </c>
      <c r="S122" s="60"/>
      <c r="T122" s="108">
        <f t="shared" si="25"/>
        <v>87600.564776169645</v>
      </c>
      <c r="U122" s="109">
        <v>0</v>
      </c>
      <c r="V122" s="110">
        <f t="shared" si="14"/>
        <v>0</v>
      </c>
      <c r="W122" s="60">
        <f t="shared" si="15"/>
        <v>87600.564776169645</v>
      </c>
      <c r="X122" s="62"/>
      <c r="Y122" s="60">
        <f t="shared" si="21"/>
        <v>43800.282388084823</v>
      </c>
      <c r="Z122" s="60">
        <f t="shared" si="22"/>
        <v>43800.282388084823</v>
      </c>
      <c r="AA122" s="60">
        <f t="shared" si="23"/>
        <v>0</v>
      </c>
      <c r="AB122" s="60">
        <f t="shared" si="24"/>
        <v>0</v>
      </c>
    </row>
    <row r="123" spans="2:28" x14ac:dyDescent="0.35">
      <c r="B123">
        <v>236</v>
      </c>
      <c r="C123" s="17">
        <v>7</v>
      </c>
      <c r="D123" s="22" t="s">
        <v>140</v>
      </c>
      <c r="E123" s="90">
        <v>1167.29</v>
      </c>
      <c r="F123" s="5">
        <v>575028.88</v>
      </c>
      <c r="G123" s="5">
        <v>263853.92</v>
      </c>
      <c r="H123" s="5">
        <v>311174.96000000002</v>
      </c>
      <c r="I123" s="58">
        <f t="shared" si="13"/>
        <v>266.57896495301082</v>
      </c>
      <c r="J123">
        <v>273</v>
      </c>
      <c r="K123" s="128">
        <f t="shared" si="16"/>
        <v>45200</v>
      </c>
      <c r="L123" s="96">
        <f t="shared" si="17"/>
        <v>232741.81939726032</v>
      </c>
      <c r="M123" s="96">
        <f t="shared" si="18"/>
        <v>129828.99982849679</v>
      </c>
      <c r="N123" s="60"/>
      <c r="O123" s="60">
        <f>IFERROR(INDEX('Revised 2020 MFAM(2020 PYAs)'!U$20:U$269,MATCH(B123,'Revised 2020 MFAM(2020 PYAs)'!B$20:B$269,0)),0)</f>
        <v>-460.66520025982754</v>
      </c>
      <c r="P123" s="60">
        <f>IFERROR(INDEX('Revised 2020 MFAM(2019 PYAs)'!AF$26:AF$274,MATCH(B123,'Revised 2020 MFAM(2019 PYAs)'!B$26:B$274,0)),0)</f>
        <v>-2.4126074469822925</v>
      </c>
      <c r="Q123" s="60">
        <f t="shared" si="19"/>
        <v>-3.6370094422709793</v>
      </c>
      <c r="R123" s="60">
        <f t="shared" si="20"/>
        <v>-466.71481714908083</v>
      </c>
      <c r="S123" s="60"/>
      <c r="T123" s="108">
        <f t="shared" si="25"/>
        <v>129362.2850113477</v>
      </c>
      <c r="U123" s="109">
        <v>0</v>
      </c>
      <c r="V123" s="110">
        <f t="shared" si="14"/>
        <v>0</v>
      </c>
      <c r="W123" s="60">
        <f t="shared" si="15"/>
        <v>129362.2850113477</v>
      </c>
      <c r="X123" s="62"/>
      <c r="Y123" s="60">
        <f t="shared" si="21"/>
        <v>43120.761670449232</v>
      </c>
      <c r="Z123" s="60">
        <f t="shared" si="22"/>
        <v>43120.761670449232</v>
      </c>
      <c r="AA123" s="60">
        <f t="shared" si="23"/>
        <v>43120.761670449232</v>
      </c>
      <c r="AB123" s="60">
        <f t="shared" si="24"/>
        <v>0</v>
      </c>
    </row>
    <row r="124" spans="2:28" x14ac:dyDescent="0.35">
      <c r="B124">
        <v>238</v>
      </c>
      <c r="C124" s="17">
        <v>7</v>
      </c>
      <c r="D124" s="22" t="s">
        <v>141</v>
      </c>
      <c r="E124" s="90">
        <v>38.493141646237184</v>
      </c>
      <c r="F124" s="5">
        <v>19182.009999999998</v>
      </c>
      <c r="G124" s="5">
        <v>0</v>
      </c>
      <c r="H124" s="5">
        <v>19182.009999999998</v>
      </c>
      <c r="I124" s="58">
        <f t="shared" si="13"/>
        <v>498.32279672800092</v>
      </c>
      <c r="J124">
        <v>365</v>
      </c>
      <c r="K124" s="128" t="str">
        <f t="shared" si="16"/>
        <v>-</v>
      </c>
      <c r="L124" s="96">
        <f t="shared" si="17"/>
        <v>19182.009999999998</v>
      </c>
      <c r="M124" s="96">
        <f t="shared" si="18"/>
        <v>10700.187785115933</v>
      </c>
      <c r="N124" s="60"/>
      <c r="O124" s="60">
        <f>IFERROR(INDEX('Revised 2020 MFAM(2020 PYAs)'!U$20:U$269,MATCH(B124,'Revised 2020 MFAM(2020 PYAs)'!B$20:B$269,0)),0)</f>
        <v>-19.360922689473227</v>
      </c>
      <c r="P124" s="60">
        <f>IFERROR(INDEX('Revised 2020 MFAM(2019 PYAs)'!AF$26:AF$274,MATCH(B124,'Revised 2020 MFAM(2019 PYAs)'!B$26:B$274,0)),0)</f>
        <v>-0.16439042914680613</v>
      </c>
      <c r="Q124" s="60">
        <f t="shared" si="19"/>
        <v>-0.29975339916311394</v>
      </c>
      <c r="R124" s="60">
        <f t="shared" si="20"/>
        <v>-19.825066517783146</v>
      </c>
      <c r="S124" s="60"/>
      <c r="T124" s="108">
        <f t="shared" si="25"/>
        <v>10680.36271859815</v>
      </c>
      <c r="U124" s="109">
        <v>0</v>
      </c>
      <c r="V124" s="110">
        <f t="shared" si="14"/>
        <v>0</v>
      </c>
      <c r="W124" s="60">
        <f t="shared" si="15"/>
        <v>10680.36271859815</v>
      </c>
      <c r="X124" s="62"/>
      <c r="Y124" s="60">
        <f t="shared" si="21"/>
        <v>2670.0906796495374</v>
      </c>
      <c r="Z124" s="60">
        <f t="shared" si="22"/>
        <v>2670.0906796495374</v>
      </c>
      <c r="AA124" s="60">
        <f t="shared" si="23"/>
        <v>2670.0906796495374</v>
      </c>
      <c r="AB124" s="60">
        <f t="shared" si="24"/>
        <v>2670.0906796495374</v>
      </c>
    </row>
    <row r="125" spans="2:28" x14ac:dyDescent="0.35">
      <c r="B125">
        <v>239</v>
      </c>
      <c r="C125" s="17">
        <v>7</v>
      </c>
      <c r="D125" s="22" t="s">
        <v>142</v>
      </c>
      <c r="E125" s="90">
        <v>2914.7799999999997</v>
      </c>
      <c r="F125" s="5">
        <v>1848927.05</v>
      </c>
      <c r="G125" s="5">
        <v>644798.92999999993</v>
      </c>
      <c r="H125" s="5">
        <v>1204128.1200000001</v>
      </c>
      <c r="I125" s="58">
        <f t="shared" si="13"/>
        <v>413.11115075580324</v>
      </c>
      <c r="J125">
        <v>365</v>
      </c>
      <c r="K125" s="128" t="str">
        <f t="shared" si="16"/>
        <v>-</v>
      </c>
      <c r="L125" s="96">
        <f t="shared" si="17"/>
        <v>1204128.1200000001</v>
      </c>
      <c r="M125" s="96">
        <f t="shared" si="18"/>
        <v>671691.70495368401</v>
      </c>
      <c r="N125" s="60"/>
      <c r="O125" s="60">
        <f>IFERROR(INDEX('Revised 2020 MFAM(2020 PYAs)'!U$20:U$269,MATCH(B125,'Revised 2020 MFAM(2020 PYAs)'!B$20:B$269,0)),0)</f>
        <v>767.32879440893885</v>
      </c>
      <c r="P125" s="60">
        <f>IFERROR(INDEX('Revised 2020 MFAM(2019 PYAs)'!AF$26:AF$274,MATCH(B125,'Revised 2020 MFAM(2019 PYAs)'!B$26:B$274,0)),0)</f>
        <v>720.64523350296076</v>
      </c>
      <c r="Q125" s="60">
        <f t="shared" si="19"/>
        <v>-18.816667127057592</v>
      </c>
      <c r="R125" s="60">
        <f t="shared" si="20"/>
        <v>1469.157360784842</v>
      </c>
      <c r="S125" s="60"/>
      <c r="T125" s="108">
        <f t="shared" si="25"/>
        <v>673160.86231446883</v>
      </c>
      <c r="U125" s="109">
        <v>0</v>
      </c>
      <c r="V125" s="110">
        <f t="shared" si="14"/>
        <v>0</v>
      </c>
      <c r="W125" s="60">
        <f t="shared" si="15"/>
        <v>673160.86231446883</v>
      </c>
      <c r="X125" s="62"/>
      <c r="Y125" s="60">
        <f t="shared" si="21"/>
        <v>168290.21557861721</v>
      </c>
      <c r="Z125" s="60">
        <f t="shared" si="22"/>
        <v>168290.21557861721</v>
      </c>
      <c r="AA125" s="60">
        <f t="shared" si="23"/>
        <v>168290.21557861721</v>
      </c>
      <c r="AB125" s="60">
        <f t="shared" si="24"/>
        <v>168290.21557861721</v>
      </c>
    </row>
    <row r="126" spans="2:28" x14ac:dyDescent="0.35">
      <c r="B126">
        <v>249</v>
      </c>
      <c r="C126" s="17">
        <v>7</v>
      </c>
      <c r="D126" s="22" t="s">
        <v>143</v>
      </c>
      <c r="E126" s="90">
        <v>1082.9419435527961</v>
      </c>
      <c r="F126" s="5">
        <v>774582.38</v>
      </c>
      <c r="G126" s="5">
        <v>0</v>
      </c>
      <c r="H126" s="5">
        <v>774582.38</v>
      </c>
      <c r="I126" s="58">
        <f t="shared" si="13"/>
        <v>715.25753029644022</v>
      </c>
      <c r="J126">
        <v>181</v>
      </c>
      <c r="K126" s="128">
        <f t="shared" si="16"/>
        <v>45108</v>
      </c>
      <c r="L126" s="96">
        <f t="shared" si="17"/>
        <v>384107.97473972605</v>
      </c>
      <c r="M126" s="96">
        <f t="shared" si="18"/>
        <v>214264.69173332912</v>
      </c>
      <c r="N126" s="60"/>
      <c r="O126" s="60">
        <f>IFERROR(INDEX('Revised 2020 MFAM(2020 PYAs)'!U$20:U$269,MATCH(B126,'Revised 2020 MFAM(2020 PYAs)'!B$20:B$269,0)),0)</f>
        <v>-667.31025607022457</v>
      </c>
      <c r="P126" s="60">
        <f>IFERROR(INDEX('Revised 2020 MFAM(2019 PYAs)'!AF$26:AF$274,MATCH(B126,'Revised 2020 MFAM(2019 PYAs)'!B$26:B$274,0)),0)</f>
        <v>-3.1697819052496925</v>
      </c>
      <c r="Q126" s="60">
        <f t="shared" si="19"/>
        <v>-6.0023778047187122</v>
      </c>
      <c r="R126" s="60">
        <f t="shared" si="20"/>
        <v>-676.48241578019292</v>
      </c>
      <c r="S126" s="60"/>
      <c r="T126" s="108">
        <f t="shared" si="25"/>
        <v>213588.20931754893</v>
      </c>
      <c r="U126" s="109">
        <v>0</v>
      </c>
      <c r="V126" s="110">
        <f t="shared" si="14"/>
        <v>0</v>
      </c>
      <c r="W126" s="60">
        <f t="shared" si="15"/>
        <v>213588.20931754893</v>
      </c>
      <c r="X126" s="62"/>
      <c r="Y126" s="60">
        <f t="shared" si="21"/>
        <v>106794.10465877446</v>
      </c>
      <c r="Z126" s="60">
        <f t="shared" si="22"/>
        <v>106794.10465877446</v>
      </c>
      <c r="AA126" s="60">
        <f t="shared" si="23"/>
        <v>0</v>
      </c>
      <c r="AB126" s="60">
        <f t="shared" si="24"/>
        <v>0</v>
      </c>
    </row>
    <row r="127" spans="2:28" x14ac:dyDescent="0.35">
      <c r="B127">
        <v>271</v>
      </c>
      <c r="C127" s="17">
        <v>7</v>
      </c>
      <c r="D127" s="22" t="s">
        <v>144</v>
      </c>
      <c r="E127" s="90">
        <v>699.72</v>
      </c>
      <c r="F127" s="5">
        <v>853489.94</v>
      </c>
      <c r="G127" s="5">
        <v>268283.31</v>
      </c>
      <c r="H127" s="5">
        <v>585206.62999999989</v>
      </c>
      <c r="I127" s="58">
        <f t="shared" si="13"/>
        <v>836.34400903218409</v>
      </c>
      <c r="J127">
        <v>365</v>
      </c>
      <c r="K127" s="128" t="str">
        <f t="shared" si="16"/>
        <v>-</v>
      </c>
      <c r="L127" s="96">
        <f t="shared" si="17"/>
        <v>585206.62999999989</v>
      </c>
      <c r="M127" s="96">
        <f t="shared" si="18"/>
        <v>326442.37147696508</v>
      </c>
      <c r="N127" s="60"/>
      <c r="O127" s="60">
        <f>IFERROR(INDEX('Revised 2020 MFAM(2020 PYAs)'!U$20:U$269,MATCH(B127,'Revised 2020 MFAM(2020 PYAs)'!B$20:B$269,0)),0)</f>
        <v>-6762.8467657808214</v>
      </c>
      <c r="P127" s="60">
        <f>IFERROR(INDEX('Revised 2020 MFAM(2019 PYAs)'!AF$26:AF$274,MATCH(B127,'Revised 2020 MFAM(2019 PYAs)'!B$26:B$274,0)),0)</f>
        <v>13.036806176503887</v>
      </c>
      <c r="Q127" s="60">
        <f t="shared" si="19"/>
        <v>-9.1449059069039542</v>
      </c>
      <c r="R127" s="60">
        <f t="shared" si="20"/>
        <v>-6758.9548655112212</v>
      </c>
      <c r="S127" s="60"/>
      <c r="T127" s="108">
        <f t="shared" si="25"/>
        <v>319683.41661145387</v>
      </c>
      <c r="U127" s="109">
        <v>0</v>
      </c>
      <c r="V127" s="110">
        <f t="shared" si="14"/>
        <v>0</v>
      </c>
      <c r="W127" s="60">
        <f t="shared" si="15"/>
        <v>319683.41661145387</v>
      </c>
      <c r="X127" s="62"/>
      <c r="Y127" s="60">
        <f t="shared" si="21"/>
        <v>79920.854152863467</v>
      </c>
      <c r="Z127" s="60">
        <f t="shared" si="22"/>
        <v>79920.854152863467</v>
      </c>
      <c r="AA127" s="60">
        <f t="shared" si="23"/>
        <v>79920.854152863467</v>
      </c>
      <c r="AB127" s="60">
        <f t="shared" si="24"/>
        <v>79920.854152863467</v>
      </c>
    </row>
    <row r="128" spans="2:28" x14ac:dyDescent="0.35">
      <c r="B128">
        <v>275</v>
      </c>
      <c r="C128" s="17">
        <v>7</v>
      </c>
      <c r="D128" s="22" t="s">
        <v>145</v>
      </c>
      <c r="E128" s="90">
        <v>733.09999999999991</v>
      </c>
      <c r="F128" s="5">
        <v>514004.68</v>
      </c>
      <c r="G128" s="5">
        <v>184857.01</v>
      </c>
      <c r="H128" s="5">
        <v>329147.67</v>
      </c>
      <c r="I128" s="58">
        <f t="shared" si="13"/>
        <v>448.9805892784068</v>
      </c>
      <c r="J128">
        <v>181</v>
      </c>
      <c r="K128" s="128">
        <f t="shared" si="16"/>
        <v>45108</v>
      </c>
      <c r="L128" s="96">
        <f t="shared" si="17"/>
        <v>163221.17334246574</v>
      </c>
      <c r="M128" s="96">
        <f t="shared" si="18"/>
        <v>91048.706849352209</v>
      </c>
      <c r="N128" s="60"/>
      <c r="O128" s="60">
        <f>IFERROR(INDEX('Revised 2020 MFAM(2020 PYAs)'!U$20:U$269,MATCH(B128,'Revised 2020 MFAM(2020 PYAs)'!B$20:B$269,0)),0)</f>
        <v>-318.70374973278376</v>
      </c>
      <c r="P128" s="60">
        <f>IFERROR(INDEX('Revised 2020 MFAM(2019 PYAs)'!AF$26:AF$274,MATCH(B128,'Revised 2020 MFAM(2019 PYAs)'!B$26:B$274,0)),0)</f>
        <v>-1.5033700298517942</v>
      </c>
      <c r="Q128" s="60">
        <f t="shared" si="19"/>
        <v>-2.5506243362815444</v>
      </c>
      <c r="R128" s="60">
        <f t="shared" si="20"/>
        <v>-322.7577440989171</v>
      </c>
      <c r="S128" s="60"/>
      <c r="T128" s="108">
        <f t="shared" si="25"/>
        <v>90725.949105253298</v>
      </c>
      <c r="U128" s="109">
        <v>0</v>
      </c>
      <c r="V128" s="110">
        <f t="shared" si="14"/>
        <v>0</v>
      </c>
      <c r="W128" s="60">
        <f t="shared" si="15"/>
        <v>90725.949105253298</v>
      </c>
      <c r="X128" s="62"/>
      <c r="Y128" s="60">
        <f t="shared" si="21"/>
        <v>45362.974552626649</v>
      </c>
      <c r="Z128" s="60">
        <f t="shared" si="22"/>
        <v>45362.974552626649</v>
      </c>
      <c r="AA128" s="60">
        <f t="shared" si="23"/>
        <v>0</v>
      </c>
      <c r="AB128" s="60">
        <f t="shared" si="24"/>
        <v>0</v>
      </c>
    </row>
    <row r="129" spans="2:28" x14ac:dyDescent="0.35">
      <c r="B129">
        <v>282</v>
      </c>
      <c r="C129" s="17">
        <v>7</v>
      </c>
      <c r="D129" s="22" t="s">
        <v>146</v>
      </c>
      <c r="E129" s="90">
        <v>126.50880242886885</v>
      </c>
      <c r="F129" s="5">
        <v>69336.850000000006</v>
      </c>
      <c r="G129" s="5">
        <v>0</v>
      </c>
      <c r="H129" s="5">
        <v>69336.850000000006</v>
      </c>
      <c r="I129" s="58">
        <f t="shared" si="13"/>
        <v>548.0792535285085</v>
      </c>
      <c r="J129">
        <v>365</v>
      </c>
      <c r="K129" s="128" t="str">
        <f t="shared" si="16"/>
        <v>-</v>
      </c>
      <c r="L129" s="96">
        <f t="shared" si="17"/>
        <v>69336.850000000006</v>
      </c>
      <c r="M129" s="96">
        <f t="shared" si="18"/>
        <v>38677.767107222644</v>
      </c>
      <c r="N129" s="60"/>
      <c r="O129" s="60">
        <f>IFERROR(INDEX('Revised 2020 MFAM(2020 PYAs)'!U$20:U$269,MATCH(B129,'Revised 2020 MFAM(2020 PYAs)'!B$20:B$269,0)),0)</f>
        <v>-53.990810690225771</v>
      </c>
      <c r="P129" s="60">
        <f>IFERROR(INDEX('Revised 2020 MFAM(2019 PYAs)'!AF$26:AF$274,MATCH(B129,'Revised 2020 MFAM(2019 PYAs)'!B$26:B$274,0)),0)</f>
        <v>-0.24545789338662871</v>
      </c>
      <c r="Q129" s="60">
        <f t="shared" si="19"/>
        <v>-1.0835129621329025</v>
      </c>
      <c r="R129" s="60">
        <f t="shared" si="20"/>
        <v>-55.3197815457453</v>
      </c>
      <c r="S129" s="60"/>
      <c r="T129" s="108">
        <f t="shared" si="25"/>
        <v>38622.447325676898</v>
      </c>
      <c r="U129" s="109">
        <v>0</v>
      </c>
      <c r="V129" s="110">
        <f t="shared" si="14"/>
        <v>0</v>
      </c>
      <c r="W129" s="60">
        <f t="shared" si="15"/>
        <v>38622.447325676898</v>
      </c>
      <c r="X129" s="62"/>
      <c r="Y129" s="60">
        <f t="shared" si="21"/>
        <v>9655.6118314192245</v>
      </c>
      <c r="Z129" s="60">
        <f t="shared" si="22"/>
        <v>9655.6118314192245</v>
      </c>
      <c r="AA129" s="60">
        <f t="shared" si="23"/>
        <v>9655.6118314192245</v>
      </c>
      <c r="AB129" s="60">
        <f t="shared" si="24"/>
        <v>9655.6118314192245</v>
      </c>
    </row>
    <row r="130" spans="2:28" x14ac:dyDescent="0.35">
      <c r="B130">
        <v>287</v>
      </c>
      <c r="C130" s="17">
        <v>7</v>
      </c>
      <c r="D130" s="22" t="s">
        <v>147</v>
      </c>
      <c r="E130" s="90">
        <v>132.59802498771433</v>
      </c>
      <c r="F130" s="5">
        <v>111108.54</v>
      </c>
      <c r="G130" s="5">
        <v>144</v>
      </c>
      <c r="H130" s="5">
        <v>110964.54</v>
      </c>
      <c r="I130" s="58">
        <f t="shared" si="13"/>
        <v>836.84911604287663</v>
      </c>
      <c r="J130">
        <v>273</v>
      </c>
      <c r="K130" s="128">
        <f t="shared" si="16"/>
        <v>45200</v>
      </c>
      <c r="L130" s="96">
        <f t="shared" si="17"/>
        <v>82995.395671232865</v>
      </c>
      <c r="M130" s="96">
        <f t="shared" si="18"/>
        <v>46296.833281923522</v>
      </c>
      <c r="N130" s="60"/>
      <c r="O130" s="60">
        <f>IFERROR(INDEX('Revised 2020 MFAM(2020 PYAs)'!U$20:U$269,MATCH(B130,'Revised 2020 MFAM(2020 PYAs)'!B$20:B$269,0)),0)</f>
        <v>-94.556386737334833</v>
      </c>
      <c r="P130" s="60">
        <f>IFERROR(INDEX('Revised 2020 MFAM(2019 PYAs)'!AF$26:AF$274,MATCH(B130,'Revised 2020 MFAM(2019 PYAs)'!B$26:B$274,0)),0)</f>
        <v>-0.51179810891335364</v>
      </c>
      <c r="Q130" s="60">
        <f t="shared" si="19"/>
        <v>-1.2969522989165185</v>
      </c>
      <c r="R130" s="60">
        <f t="shared" si="20"/>
        <v>-96.365137145164709</v>
      </c>
      <c r="S130" s="60"/>
      <c r="T130" s="108">
        <f t="shared" si="25"/>
        <v>46200.468144778359</v>
      </c>
      <c r="U130" s="109">
        <v>0</v>
      </c>
      <c r="V130" s="110">
        <f t="shared" si="14"/>
        <v>0</v>
      </c>
      <c r="W130" s="60">
        <f t="shared" si="15"/>
        <v>46200.468144778359</v>
      </c>
      <c r="X130" s="62"/>
      <c r="Y130" s="60">
        <f t="shared" si="21"/>
        <v>15400.156048259452</v>
      </c>
      <c r="Z130" s="60">
        <f t="shared" si="22"/>
        <v>15400.156048259452</v>
      </c>
      <c r="AA130" s="60">
        <f t="shared" si="23"/>
        <v>15400.156048259452</v>
      </c>
      <c r="AB130" s="60">
        <f t="shared" si="24"/>
        <v>0</v>
      </c>
    </row>
    <row r="131" spans="2:28" x14ac:dyDescent="0.35">
      <c r="B131">
        <v>290</v>
      </c>
      <c r="C131" s="17">
        <v>7</v>
      </c>
      <c r="D131" s="22" t="s">
        <v>148</v>
      </c>
      <c r="E131" s="90">
        <v>309.06354695345249</v>
      </c>
      <c r="F131" s="5">
        <v>259246.12</v>
      </c>
      <c r="G131" s="5">
        <v>88464.71</v>
      </c>
      <c r="H131" s="5">
        <v>170781.40999999997</v>
      </c>
      <c r="I131" s="58">
        <f t="shared" si="13"/>
        <v>552.57700781425729</v>
      </c>
      <c r="J131">
        <v>365</v>
      </c>
      <c r="K131" s="128" t="str">
        <f t="shared" si="16"/>
        <v>-</v>
      </c>
      <c r="L131" s="96">
        <f t="shared" si="17"/>
        <v>170781.40999999997</v>
      </c>
      <c r="M131" s="96">
        <f t="shared" si="18"/>
        <v>95265.989185016384</v>
      </c>
      <c r="N131" s="60"/>
      <c r="O131" s="60">
        <f>IFERROR(INDEX('Revised 2020 MFAM(2020 PYAs)'!U$20:U$269,MATCH(B131,'Revised 2020 MFAM(2020 PYAs)'!B$20:B$269,0)),0)</f>
        <v>-292.19747382140486</v>
      </c>
      <c r="P131" s="60">
        <f>IFERROR(INDEX('Revised 2020 MFAM(2019 PYAs)'!AF$26:AF$274,MATCH(B131,'Revised 2020 MFAM(2019 PYAs)'!B$26:B$274,0)),0)</f>
        <v>-42.223369044484571</v>
      </c>
      <c r="Q131" s="60">
        <f t="shared" si="19"/>
        <v>-2.6687666288032075</v>
      </c>
      <c r="R131" s="60">
        <f t="shared" si="20"/>
        <v>-337.08960949469264</v>
      </c>
      <c r="S131" s="60"/>
      <c r="T131" s="108">
        <f t="shared" si="25"/>
        <v>94928.899575521689</v>
      </c>
      <c r="U131" s="109">
        <v>0</v>
      </c>
      <c r="V131" s="110">
        <f t="shared" si="14"/>
        <v>0</v>
      </c>
      <c r="W131" s="60">
        <f t="shared" si="15"/>
        <v>94928.899575521689</v>
      </c>
      <c r="X131" s="62"/>
      <c r="Y131" s="60">
        <f t="shared" si="21"/>
        <v>23732.224893880422</v>
      </c>
      <c r="Z131" s="60">
        <f t="shared" si="22"/>
        <v>23732.224893880422</v>
      </c>
      <c r="AA131" s="60">
        <f t="shared" si="23"/>
        <v>23732.224893880422</v>
      </c>
      <c r="AB131" s="60">
        <f t="shared" si="24"/>
        <v>23732.224893880422</v>
      </c>
    </row>
    <row r="132" spans="2:28" x14ac:dyDescent="0.35">
      <c r="B132">
        <v>294</v>
      </c>
      <c r="C132" s="17">
        <v>7</v>
      </c>
      <c r="D132" s="22" t="s">
        <v>149</v>
      </c>
      <c r="E132" s="90">
        <v>1138.4739294732788</v>
      </c>
      <c r="F132" s="5">
        <v>675933.4</v>
      </c>
      <c r="G132" s="5">
        <v>1505</v>
      </c>
      <c r="H132" s="5">
        <v>674428.4</v>
      </c>
      <c r="I132" s="58">
        <f t="shared" si="13"/>
        <v>592.39687667861494</v>
      </c>
      <c r="J132">
        <v>181</v>
      </c>
      <c r="K132" s="128">
        <f t="shared" si="16"/>
        <v>45108</v>
      </c>
      <c r="L132" s="96">
        <f t="shared" si="17"/>
        <v>334442.57643835619</v>
      </c>
      <c r="M132" s="96">
        <f t="shared" si="18"/>
        <v>186560.13479444548</v>
      </c>
      <c r="N132" s="60"/>
      <c r="O132" s="60">
        <f>IFERROR(INDEX('Revised 2020 MFAM(2020 PYAs)'!U$20:U$269,MATCH(B132,'Revised 2020 MFAM(2020 PYAs)'!B$20:B$269,0)),0)</f>
        <v>-538.79071679187473</v>
      </c>
      <c r="P132" s="60">
        <f>IFERROR(INDEX('Revised 2020 MFAM(2019 PYAs)'!AF$26:AF$274,MATCH(B132,'Revised 2020 MFAM(2019 PYAs)'!B$26:B$274,0)),0)</f>
        <v>-2.8304915381013416</v>
      </c>
      <c r="Q132" s="60">
        <f t="shared" si="19"/>
        <v>-5.2262666483995597</v>
      </c>
      <c r="R132" s="60">
        <f t="shared" si="20"/>
        <v>-546.84747497837566</v>
      </c>
      <c r="S132" s="60"/>
      <c r="T132" s="108">
        <f t="shared" si="25"/>
        <v>186013.28731946711</v>
      </c>
      <c r="U132" s="109">
        <v>0</v>
      </c>
      <c r="V132" s="110">
        <f t="shared" si="14"/>
        <v>0</v>
      </c>
      <c r="W132" s="60">
        <f t="shared" si="15"/>
        <v>186013.28731946711</v>
      </c>
      <c r="X132" s="62"/>
      <c r="Y132" s="60">
        <f t="shared" si="21"/>
        <v>93006.643659733556</v>
      </c>
      <c r="Z132" s="60">
        <f t="shared" si="22"/>
        <v>93006.643659733556</v>
      </c>
      <c r="AA132" s="60">
        <f t="shared" si="23"/>
        <v>0</v>
      </c>
      <c r="AB132" s="60">
        <f t="shared" si="24"/>
        <v>0</v>
      </c>
    </row>
    <row r="133" spans="2:28" x14ac:dyDescent="0.35">
      <c r="B133">
        <v>296</v>
      </c>
      <c r="C133" s="17">
        <v>7</v>
      </c>
      <c r="D133" s="22" t="s">
        <v>150</v>
      </c>
      <c r="E133" s="90">
        <v>804.06000000000017</v>
      </c>
      <c r="F133" s="5">
        <v>1172250.48</v>
      </c>
      <c r="G133" s="5">
        <v>300828.90999999997</v>
      </c>
      <c r="H133" s="5">
        <v>871421.57000000007</v>
      </c>
      <c r="I133" s="58">
        <f t="shared" si="13"/>
        <v>1083.7767952640349</v>
      </c>
      <c r="J133">
        <v>365</v>
      </c>
      <c r="K133" s="128" t="str">
        <f t="shared" si="16"/>
        <v>-</v>
      </c>
      <c r="L133" s="96">
        <f t="shared" si="17"/>
        <v>871421.57000000007</v>
      </c>
      <c r="M133" s="96">
        <f t="shared" si="18"/>
        <v>486099.9675738127</v>
      </c>
      <c r="N133" s="60"/>
      <c r="O133" s="60">
        <f>IFERROR(INDEX('Revised 2020 MFAM(2020 PYAs)'!U$20:U$269,MATCH(B133,'Revised 2020 MFAM(2020 PYAs)'!B$20:B$269,0)),0)</f>
        <v>-638.10403747431701</v>
      </c>
      <c r="P133" s="60">
        <f>IFERROR(INDEX('Revised 2020 MFAM(2019 PYAs)'!AF$26:AF$274,MATCH(B133,'Revised 2020 MFAM(2019 PYAs)'!B$26:B$274,0)),0)</f>
        <v>13.312218156235758</v>
      </c>
      <c r="Q133" s="60">
        <f t="shared" si="19"/>
        <v>-13.617529013464047</v>
      </c>
      <c r="R133" s="60">
        <f t="shared" si="20"/>
        <v>-638.40934833154529</v>
      </c>
      <c r="S133" s="60"/>
      <c r="T133" s="108">
        <f t="shared" si="25"/>
        <v>485461.55822548113</v>
      </c>
      <c r="U133" s="109">
        <v>0</v>
      </c>
      <c r="V133" s="110">
        <f t="shared" si="14"/>
        <v>0</v>
      </c>
      <c r="W133" s="60">
        <f t="shared" si="15"/>
        <v>485461.55822548113</v>
      </c>
      <c r="X133" s="62"/>
      <c r="Y133" s="60">
        <f t="shared" si="21"/>
        <v>121365.38955637028</v>
      </c>
      <c r="Z133" s="60">
        <f t="shared" si="22"/>
        <v>121365.38955637028</v>
      </c>
      <c r="AA133" s="60">
        <f t="shared" si="23"/>
        <v>121365.38955637028</v>
      </c>
      <c r="AB133" s="60">
        <f t="shared" si="24"/>
        <v>121365.38955637028</v>
      </c>
    </row>
    <row r="134" spans="2:28" x14ac:dyDescent="0.35">
      <c r="B134">
        <v>301</v>
      </c>
      <c r="C134" s="17">
        <v>7</v>
      </c>
      <c r="D134" s="22" t="s">
        <v>151</v>
      </c>
      <c r="E134" s="90">
        <v>583.82383480137946</v>
      </c>
      <c r="F134" s="5">
        <v>484534.03</v>
      </c>
      <c r="G134" s="5">
        <v>35150.61</v>
      </c>
      <c r="H134" s="5">
        <v>449383.42000000004</v>
      </c>
      <c r="I134" s="58">
        <f t="shared" si="13"/>
        <v>769.72434699053201</v>
      </c>
      <c r="J134">
        <v>365</v>
      </c>
      <c r="K134" s="128" t="str">
        <f t="shared" si="16"/>
        <v>-</v>
      </c>
      <c r="L134" s="96">
        <f t="shared" si="17"/>
        <v>449383.42000000004</v>
      </c>
      <c r="M134" s="96">
        <f t="shared" si="18"/>
        <v>250676.90932898191</v>
      </c>
      <c r="N134" s="60"/>
      <c r="O134" s="60">
        <f>IFERROR(INDEX('Revised 2020 MFAM(2020 PYAs)'!U$20:U$269,MATCH(B134,'Revised 2020 MFAM(2020 PYAs)'!B$20:B$269,0)),0)</f>
        <v>-372.69044264112017</v>
      </c>
      <c r="P134" s="60">
        <f>IFERROR(INDEX('Revised 2020 MFAM(2019 PYAs)'!AF$26:AF$274,MATCH(B134,'Revised 2020 MFAM(2019 PYAs)'!B$26:B$274,0)),0)</f>
        <v>-1.2747484558931319</v>
      </c>
      <c r="Q134" s="60">
        <f t="shared" si="19"/>
        <v>-7.022424014612926</v>
      </c>
      <c r="R134" s="60">
        <f t="shared" si="20"/>
        <v>-380.98761511162621</v>
      </c>
      <c r="S134" s="60"/>
      <c r="T134" s="108">
        <f t="shared" si="25"/>
        <v>250295.92171387028</v>
      </c>
      <c r="U134" s="109">
        <v>0</v>
      </c>
      <c r="V134" s="110">
        <f t="shared" si="14"/>
        <v>0</v>
      </c>
      <c r="W134" s="60">
        <f t="shared" si="15"/>
        <v>250295.92171387028</v>
      </c>
      <c r="X134" s="62"/>
      <c r="Y134" s="60">
        <f t="shared" si="21"/>
        <v>62573.98042846757</v>
      </c>
      <c r="Z134" s="60">
        <f t="shared" si="22"/>
        <v>62573.98042846757</v>
      </c>
      <c r="AA134" s="60">
        <f t="shared" si="23"/>
        <v>62573.98042846757</v>
      </c>
      <c r="AB134" s="60">
        <f t="shared" si="24"/>
        <v>62573.98042846757</v>
      </c>
    </row>
    <row r="135" spans="2:28" x14ac:dyDescent="0.35">
      <c r="B135">
        <v>321</v>
      </c>
      <c r="C135" s="17">
        <v>7</v>
      </c>
      <c r="D135" s="22" t="s">
        <v>152</v>
      </c>
      <c r="E135" s="90">
        <v>578.151720130434</v>
      </c>
      <c r="F135" s="5">
        <v>422509.73</v>
      </c>
      <c r="G135" s="5">
        <v>0</v>
      </c>
      <c r="H135" s="5">
        <v>422509.73</v>
      </c>
      <c r="I135" s="58">
        <f t="shared" si="13"/>
        <v>730.79386480884227</v>
      </c>
      <c r="J135">
        <v>365</v>
      </c>
      <c r="K135" s="128" t="str">
        <f t="shared" si="16"/>
        <v>-</v>
      </c>
      <c r="L135" s="96">
        <f t="shared" si="17"/>
        <v>422509.73</v>
      </c>
      <c r="M135" s="96">
        <f t="shared" si="18"/>
        <v>235686.1169417924</v>
      </c>
      <c r="N135" s="60"/>
      <c r="O135" s="60">
        <f>IFERROR(INDEX('Revised 2020 MFAM(2020 PYAs)'!U$20:U$269,MATCH(B135,'Revised 2020 MFAM(2020 PYAs)'!B$20:B$269,0)),0)</f>
        <v>-355.55880979655194</v>
      </c>
      <c r="P135" s="60">
        <f>IFERROR(INDEX('Revised 2020 MFAM(2019 PYAs)'!AF$26:AF$274,MATCH(B135,'Revised 2020 MFAM(2019 PYAs)'!B$26:B$274,0)),0)</f>
        <v>6.0683401372371009</v>
      </c>
      <c r="Q135" s="60">
        <f t="shared" si="19"/>
        <v>-6.6024742843419162</v>
      </c>
      <c r="R135" s="60">
        <f t="shared" si="20"/>
        <v>-356.09294394365673</v>
      </c>
      <c r="S135" s="60"/>
      <c r="T135" s="108">
        <f t="shared" si="25"/>
        <v>235330.02399784874</v>
      </c>
      <c r="U135" s="109">
        <v>0</v>
      </c>
      <c r="V135" s="110">
        <f t="shared" si="14"/>
        <v>0</v>
      </c>
      <c r="W135" s="60">
        <f t="shared" si="15"/>
        <v>235330.02399784874</v>
      </c>
      <c r="X135" s="62"/>
      <c r="Y135" s="60">
        <f t="shared" si="21"/>
        <v>58832.505999462184</v>
      </c>
      <c r="Z135" s="60">
        <f t="shared" si="22"/>
        <v>58832.505999462184</v>
      </c>
      <c r="AA135" s="60">
        <f t="shared" si="23"/>
        <v>58832.505999462184</v>
      </c>
      <c r="AB135" s="60">
        <f t="shared" si="24"/>
        <v>58832.505999462184</v>
      </c>
    </row>
    <row r="136" spans="2:28" x14ac:dyDescent="0.35">
      <c r="B136">
        <v>325</v>
      </c>
      <c r="C136" s="17">
        <v>7</v>
      </c>
      <c r="D136" s="22" t="s">
        <v>153</v>
      </c>
      <c r="E136" s="90">
        <v>428.35575154494023</v>
      </c>
      <c r="F136" s="5">
        <v>376900.64</v>
      </c>
      <c r="G136" s="5">
        <v>153.76</v>
      </c>
      <c r="H136" s="5">
        <v>376746.88</v>
      </c>
      <c r="I136" s="58">
        <f t="shared" si="13"/>
        <v>879.51866793242823</v>
      </c>
      <c r="J136">
        <v>365</v>
      </c>
      <c r="K136" s="128" t="str">
        <f t="shared" si="16"/>
        <v>-</v>
      </c>
      <c r="L136" s="96">
        <f t="shared" si="17"/>
        <v>376746.87999999995</v>
      </c>
      <c r="M136" s="96">
        <f t="shared" si="18"/>
        <v>210158.49556206769</v>
      </c>
      <c r="N136" s="60"/>
      <c r="O136" s="60">
        <f>IFERROR(INDEX('Revised 2020 MFAM(2020 PYAs)'!U$20:U$269,MATCH(B136,'Revised 2020 MFAM(2020 PYAs)'!B$20:B$269,0)),0)</f>
        <v>-263.5826449051674</v>
      </c>
      <c r="P136" s="60">
        <f>IFERROR(INDEX('Revised 2020 MFAM(2019 PYAs)'!AF$26:AF$274,MATCH(B136,'Revised 2020 MFAM(2019 PYAs)'!B$26:B$274,0)),0)</f>
        <v>-0.69484377541812137</v>
      </c>
      <c r="Q136" s="60">
        <f t="shared" si="19"/>
        <v>-5.8873474627579583</v>
      </c>
      <c r="R136" s="60">
        <f t="shared" si="20"/>
        <v>-270.16483614334345</v>
      </c>
      <c r="S136" s="60"/>
      <c r="T136" s="108">
        <f t="shared" si="25"/>
        <v>209888.33072592434</v>
      </c>
      <c r="U136" s="109">
        <v>0</v>
      </c>
      <c r="V136" s="110">
        <f t="shared" si="14"/>
        <v>0</v>
      </c>
      <c r="W136" s="60">
        <f t="shared" si="15"/>
        <v>209888.33072592434</v>
      </c>
      <c r="X136" s="62"/>
      <c r="Y136" s="60">
        <f t="shared" si="21"/>
        <v>52472.082681481086</v>
      </c>
      <c r="Z136" s="60">
        <f t="shared" si="22"/>
        <v>52472.082681481086</v>
      </c>
      <c r="AA136" s="60">
        <f t="shared" si="23"/>
        <v>52472.082681481086</v>
      </c>
      <c r="AB136" s="60">
        <f t="shared" si="24"/>
        <v>52472.082681481086</v>
      </c>
    </row>
    <row r="137" spans="2:28" x14ac:dyDescent="0.35">
      <c r="B137">
        <v>346</v>
      </c>
      <c r="C137" s="17">
        <v>7</v>
      </c>
      <c r="D137" s="22" t="s">
        <v>154</v>
      </c>
      <c r="E137" s="90">
        <v>214.97</v>
      </c>
      <c r="F137" s="5">
        <v>189136.53</v>
      </c>
      <c r="G137" s="5">
        <v>40742.36</v>
      </c>
      <c r="H137" s="5">
        <v>148394.16999999998</v>
      </c>
      <c r="I137" s="58">
        <f t="shared" si="13"/>
        <v>690.30176303670271</v>
      </c>
      <c r="J137">
        <v>181</v>
      </c>
      <c r="K137" s="128">
        <f t="shared" si="16"/>
        <v>45108</v>
      </c>
      <c r="L137" s="96">
        <f t="shared" si="17"/>
        <v>73587.245945205461</v>
      </c>
      <c r="M137" s="96">
        <f t="shared" si="18"/>
        <v>41048.740471056451</v>
      </c>
      <c r="N137" s="60"/>
      <c r="O137" s="60">
        <f>IFERROR(INDEX('Revised 2020 MFAM(2020 PYAs)'!U$20:U$269,MATCH(B137,'Revised 2020 MFAM(2020 PYAs)'!B$20:B$269,0)),0)</f>
        <v>-136.53543867147528</v>
      </c>
      <c r="P137" s="60">
        <f>IFERROR(INDEX('Revised 2020 MFAM(2019 PYAs)'!AF$26:AF$274,MATCH(B137,'Revised 2020 MFAM(2019 PYAs)'!B$26:B$274,0)),0)</f>
        <v>-0.55098274659394519</v>
      </c>
      <c r="Q137" s="60">
        <f t="shared" si="19"/>
        <v>-1.1499330417994469</v>
      </c>
      <c r="R137" s="60">
        <f t="shared" si="20"/>
        <v>-138.23635445986866</v>
      </c>
      <c r="S137" s="60"/>
      <c r="T137" s="108">
        <f t="shared" si="25"/>
        <v>40910.504116596581</v>
      </c>
      <c r="U137" s="109">
        <v>0</v>
      </c>
      <c r="V137" s="110">
        <f t="shared" si="14"/>
        <v>0</v>
      </c>
      <c r="W137" s="60">
        <f t="shared" si="15"/>
        <v>40910.504116596581</v>
      </c>
      <c r="X137" s="62"/>
      <c r="Y137" s="60">
        <f t="shared" si="21"/>
        <v>20455.252058298291</v>
      </c>
      <c r="Z137" s="60">
        <f t="shared" si="22"/>
        <v>20455.252058298291</v>
      </c>
      <c r="AA137" s="60">
        <f t="shared" si="23"/>
        <v>0</v>
      </c>
      <c r="AB137" s="60">
        <f t="shared" si="24"/>
        <v>0</v>
      </c>
    </row>
    <row r="138" spans="2:28" x14ac:dyDescent="0.35">
      <c r="B138">
        <v>358</v>
      </c>
      <c r="C138" s="17">
        <v>7</v>
      </c>
      <c r="D138" s="22" t="s">
        <v>155</v>
      </c>
      <c r="E138" s="90">
        <v>166.38</v>
      </c>
      <c r="F138" s="5">
        <v>236744.81</v>
      </c>
      <c r="G138" s="5">
        <v>35453.869999999995</v>
      </c>
      <c r="H138" s="5">
        <v>201290.94</v>
      </c>
      <c r="I138" s="58">
        <f t="shared" si="13"/>
        <v>1209.8265416516408</v>
      </c>
      <c r="J138">
        <v>181</v>
      </c>
      <c r="K138" s="128">
        <f t="shared" si="16"/>
        <v>45108</v>
      </c>
      <c r="L138" s="96">
        <f t="shared" si="17"/>
        <v>99818.246958904114</v>
      </c>
      <c r="M138" s="96">
        <f t="shared" si="18"/>
        <v>55681.025442138314</v>
      </c>
      <c r="N138" s="60"/>
      <c r="O138" s="60">
        <f>IFERROR(INDEX('Revised 2020 MFAM(2020 PYAs)'!U$20:U$269,MATCH(B138,'Revised 2020 MFAM(2020 PYAs)'!B$20:B$269,0)),0)</f>
        <v>-186.15335405513179</v>
      </c>
      <c r="P138" s="60">
        <f>IFERROR(INDEX('Revised 2020 MFAM(2019 PYAs)'!AF$26:AF$274,MATCH(B138,'Revised 2020 MFAM(2019 PYAs)'!B$26:B$274,0)),0)</f>
        <v>-1.0199774886132218</v>
      </c>
      <c r="Q138" s="60">
        <f t="shared" si="19"/>
        <v>-1.5598396009821007</v>
      </c>
      <c r="R138" s="60">
        <f t="shared" si="20"/>
        <v>-188.73317114472709</v>
      </c>
      <c r="S138" s="60"/>
      <c r="T138" s="108">
        <f t="shared" si="25"/>
        <v>55492.292270993588</v>
      </c>
      <c r="U138" s="109">
        <v>0</v>
      </c>
      <c r="V138" s="110">
        <f t="shared" si="14"/>
        <v>0</v>
      </c>
      <c r="W138" s="60">
        <f t="shared" si="15"/>
        <v>55492.292270993588</v>
      </c>
      <c r="X138" s="62"/>
      <c r="Y138" s="60">
        <f t="shared" si="21"/>
        <v>27746.146135496794</v>
      </c>
      <c r="Z138" s="60">
        <f t="shared" si="22"/>
        <v>27746.146135496794</v>
      </c>
      <c r="AA138" s="60">
        <f t="shared" si="23"/>
        <v>0</v>
      </c>
      <c r="AB138" s="60">
        <f t="shared" si="24"/>
        <v>0</v>
      </c>
    </row>
    <row r="139" spans="2:28" x14ac:dyDescent="0.35">
      <c r="B139">
        <v>361</v>
      </c>
      <c r="C139" s="17">
        <v>7</v>
      </c>
      <c r="D139" s="22" t="s">
        <v>156</v>
      </c>
      <c r="E139" s="90">
        <v>1602.4448307656721</v>
      </c>
      <c r="F139" s="5">
        <v>1087936.3700000001</v>
      </c>
      <c r="G139" s="5">
        <v>10430.98</v>
      </c>
      <c r="H139" s="5">
        <v>1077505.3900000001</v>
      </c>
      <c r="I139" s="58">
        <f t="shared" si="13"/>
        <v>672.4134081328416</v>
      </c>
      <c r="J139">
        <v>181</v>
      </c>
      <c r="K139" s="128">
        <f t="shared" si="16"/>
        <v>45108</v>
      </c>
      <c r="L139" s="96">
        <f t="shared" si="17"/>
        <v>534324.59065753431</v>
      </c>
      <c r="M139" s="96">
        <f t="shared" si="18"/>
        <v>298059.14282397</v>
      </c>
      <c r="N139" s="60"/>
      <c r="O139" s="60">
        <f>IFERROR(INDEX('Revised 2020 MFAM(2020 PYAs)'!U$20:U$269,MATCH(B139,'Revised 2020 MFAM(2020 PYAs)'!B$20:B$269,0)),0)</f>
        <v>-858.03798907418968</v>
      </c>
      <c r="P139" s="60">
        <f>IFERROR(INDEX('Revised 2020 MFAM(2019 PYAs)'!AF$26:AF$274,MATCH(B139,'Revised 2020 MFAM(2019 PYAs)'!B$26:B$274,0)),0)</f>
        <v>-4.0211314596817829</v>
      </c>
      <c r="Q139" s="60">
        <f t="shared" si="19"/>
        <v>-8.3497825465650024</v>
      </c>
      <c r="R139" s="60">
        <f t="shared" si="20"/>
        <v>-870.40890308043652</v>
      </c>
      <c r="S139" s="60"/>
      <c r="T139" s="108">
        <f t="shared" si="25"/>
        <v>297188.73392088956</v>
      </c>
      <c r="U139" s="109">
        <v>0</v>
      </c>
      <c r="V139" s="110">
        <f t="shared" si="14"/>
        <v>0</v>
      </c>
      <c r="W139" s="60">
        <f t="shared" si="15"/>
        <v>297188.73392088956</v>
      </c>
      <c r="X139" s="62"/>
      <c r="Y139" s="60">
        <f t="shared" si="21"/>
        <v>148594.36696044478</v>
      </c>
      <c r="Z139" s="60">
        <f t="shared" si="22"/>
        <v>148594.36696044478</v>
      </c>
      <c r="AA139" s="60">
        <f t="shared" si="23"/>
        <v>0</v>
      </c>
      <c r="AB139" s="60">
        <f t="shared" si="24"/>
        <v>0</v>
      </c>
    </row>
    <row r="140" spans="2:28" x14ac:dyDescent="0.35">
      <c r="B140">
        <v>376</v>
      </c>
      <c r="C140" s="17">
        <v>7</v>
      </c>
      <c r="D140" s="22" t="s">
        <v>157</v>
      </c>
      <c r="E140" s="90">
        <v>718.206710128125</v>
      </c>
      <c r="F140" s="5">
        <v>391850.91</v>
      </c>
      <c r="G140" s="5">
        <v>0</v>
      </c>
      <c r="H140" s="5">
        <v>391850.91</v>
      </c>
      <c r="I140" s="58">
        <f t="shared" si="13"/>
        <v>545.59628095105859</v>
      </c>
      <c r="J140">
        <v>181</v>
      </c>
      <c r="K140" s="128">
        <f t="shared" si="16"/>
        <v>45108</v>
      </c>
      <c r="L140" s="96">
        <f t="shared" si="17"/>
        <v>194315.10879452052</v>
      </c>
      <c r="M140" s="96">
        <f t="shared" si="18"/>
        <v>108393.65392816511</v>
      </c>
      <c r="N140" s="60"/>
      <c r="O140" s="60">
        <f>IFERROR(INDEX('Revised 2020 MFAM(2020 PYAs)'!U$20:U$269,MATCH(B140,'Revised 2020 MFAM(2020 PYAs)'!B$20:B$269,0)),0)</f>
        <v>-331.9177775081771</v>
      </c>
      <c r="P140" s="60">
        <f>IFERROR(INDEX('Revised 2020 MFAM(2019 PYAs)'!AF$26:AF$274,MATCH(B140,'Revised 2020 MFAM(2019 PYAs)'!B$26:B$274,0)),0)</f>
        <v>-1.3592429334821645</v>
      </c>
      <c r="Q140" s="60">
        <f t="shared" si="19"/>
        <v>-3.0365229905472795</v>
      </c>
      <c r="R140" s="60">
        <f t="shared" si="20"/>
        <v>-336.31354343220653</v>
      </c>
      <c r="S140" s="60"/>
      <c r="T140" s="108">
        <f t="shared" si="25"/>
        <v>108057.3403847329</v>
      </c>
      <c r="U140" s="109">
        <v>0</v>
      </c>
      <c r="V140" s="110">
        <f t="shared" si="14"/>
        <v>0</v>
      </c>
      <c r="W140" s="60">
        <f t="shared" si="15"/>
        <v>108057.3403847329</v>
      </c>
      <c r="X140" s="62"/>
      <c r="Y140" s="60">
        <f t="shared" si="21"/>
        <v>54028.670192366451</v>
      </c>
      <c r="Z140" s="60">
        <f t="shared" si="22"/>
        <v>54028.670192366451</v>
      </c>
      <c r="AA140" s="60">
        <f t="shared" si="23"/>
        <v>0</v>
      </c>
      <c r="AB140" s="60">
        <f t="shared" si="24"/>
        <v>0</v>
      </c>
    </row>
    <row r="141" spans="2:28" x14ac:dyDescent="0.35">
      <c r="B141">
        <v>382</v>
      </c>
      <c r="C141" s="17">
        <v>7</v>
      </c>
      <c r="D141" s="22" t="s">
        <v>158</v>
      </c>
      <c r="E141" s="90">
        <v>210.23999999999998</v>
      </c>
      <c r="F141" s="5">
        <v>118085.75999999999</v>
      </c>
      <c r="G141" s="5">
        <v>40035.120000000003</v>
      </c>
      <c r="H141" s="5">
        <v>78050.639999999985</v>
      </c>
      <c r="I141" s="58">
        <f t="shared" ref="I141:I204" si="26">IFERROR(H141/E141,"n.a.")</f>
        <v>371.24543378995429</v>
      </c>
      <c r="J141">
        <v>364</v>
      </c>
      <c r="K141" s="128">
        <f t="shared" si="16"/>
        <v>45291</v>
      </c>
      <c r="L141" s="96">
        <f t="shared" si="17"/>
        <v>77836.802630136968</v>
      </c>
      <c r="M141" s="96">
        <f t="shared" si="18"/>
        <v>43419.245675269245</v>
      </c>
      <c r="N141" s="60"/>
      <c r="O141" s="60">
        <f>IFERROR(INDEX('Revised 2020 MFAM(2020 PYAs)'!U$20:U$269,MATCH(B141,'Revised 2020 MFAM(2020 PYAs)'!B$20:B$269,0)),0)</f>
        <v>-81.764197358599631</v>
      </c>
      <c r="P141" s="60">
        <f>IFERROR(INDEX('Revised 2020 MFAM(2019 PYAs)'!AF$26:AF$274,MATCH(B141,'Revised 2020 MFAM(2019 PYAs)'!B$26:B$274,0)),0)</f>
        <v>-0.38203049332514638</v>
      </c>
      <c r="Q141" s="60">
        <f t="shared" si="19"/>
        <v>-1.2163400065150607</v>
      </c>
      <c r="R141" s="60">
        <f t="shared" si="20"/>
        <v>-83.362567858439832</v>
      </c>
      <c r="S141" s="60"/>
      <c r="T141" s="108">
        <f t="shared" si="25"/>
        <v>43335.883107410802</v>
      </c>
      <c r="U141" s="109">
        <v>0</v>
      </c>
      <c r="V141" s="110">
        <f t="shared" ref="V141:V204" si="27">-$U$11*U141*T141</f>
        <v>0</v>
      </c>
      <c r="W141" s="60">
        <f t="shared" ref="W141:W204" si="28">T141+V141</f>
        <v>43335.883107410802</v>
      </c>
      <c r="X141" s="62"/>
      <c r="Y141" s="60">
        <f t="shared" si="21"/>
        <v>10833.970776852701</v>
      </c>
      <c r="Z141" s="60">
        <f t="shared" si="22"/>
        <v>10833.970776852701</v>
      </c>
      <c r="AA141" s="60">
        <f t="shared" si="23"/>
        <v>10833.970776852701</v>
      </c>
      <c r="AB141" s="60">
        <f t="shared" si="24"/>
        <v>10833.970776852701</v>
      </c>
    </row>
    <row r="142" spans="2:28" x14ac:dyDescent="0.35">
      <c r="B142">
        <v>389</v>
      </c>
      <c r="C142" s="17">
        <v>7</v>
      </c>
      <c r="D142" s="22" t="s">
        <v>159</v>
      </c>
      <c r="E142" s="90">
        <v>951.58871772875955</v>
      </c>
      <c r="F142" s="5">
        <v>623933.84</v>
      </c>
      <c r="G142" s="5">
        <v>425</v>
      </c>
      <c r="H142" s="5">
        <v>623508.84</v>
      </c>
      <c r="I142" s="58">
        <f t="shared" si="26"/>
        <v>655.22933215116643</v>
      </c>
      <c r="J142">
        <v>365</v>
      </c>
      <c r="K142" s="128" t="str">
        <f t="shared" ref="K142:K205" si="29">IF(J142=365,"-",J142+$Y$9)</f>
        <v>-</v>
      </c>
      <c r="L142" s="96">
        <f t="shared" ref="L142:L205" si="30">H142*J142/365</f>
        <v>623508.84</v>
      </c>
      <c r="M142" s="96">
        <f t="shared" ref="M142:M205" si="31">L142*(E$8/L$11)</f>
        <v>347808.2679385427</v>
      </c>
      <c r="N142" s="60"/>
      <c r="O142" s="60">
        <f>IFERROR(INDEX('Revised 2020 MFAM(2020 PYAs)'!U$20:U$269,MATCH(B142,'Revised 2020 MFAM(2020 PYAs)'!B$20:B$269,0)),0)</f>
        <v>-3204.6265314372722</v>
      </c>
      <c r="P142" s="60">
        <f>IFERROR(INDEX('Revised 2020 MFAM(2019 PYAs)'!AF$26:AF$274,MATCH(B142,'Revised 2020 MFAM(2019 PYAs)'!B$26:B$274,0)),0)</f>
        <v>-0.75559232078376226</v>
      </c>
      <c r="Q142" s="60">
        <f t="shared" ref="Q142:Q205" si="32">-Q$9*(M142/E$8)</f>
        <v>-9.7434468128340121</v>
      </c>
      <c r="R142" s="60">
        <f t="shared" ref="R142:R205" si="33">SUM(O142:Q142)</f>
        <v>-3215.12557057089</v>
      </c>
      <c r="S142" s="60"/>
      <c r="T142" s="108">
        <f t="shared" si="25"/>
        <v>344593.14236797183</v>
      </c>
      <c r="U142" s="109">
        <v>0</v>
      </c>
      <c r="V142" s="110">
        <f t="shared" si="27"/>
        <v>0</v>
      </c>
      <c r="W142" s="60">
        <f t="shared" si="28"/>
        <v>344593.14236797183</v>
      </c>
      <c r="X142" s="62"/>
      <c r="Y142" s="60">
        <f t="shared" ref="Y142:Y205" si="34">IF(J142&gt;AB$10,W142/4,
IF(J142&gt;AA$10,W142/3,
IF(J142&gt;Z$10,W142/2,
W142)))</f>
        <v>86148.285591992957</v>
      </c>
      <c r="Z142" s="60">
        <f t="shared" ref="Z142:Z205" si="35">IF(J142&gt;AB$10,W142/4,
IF(J142&gt;AA$10,W142/3,
IF(J142&gt;Z$10,W142/2,0)))</f>
        <v>86148.285591992957</v>
      </c>
      <c r="AA142" s="60">
        <f t="shared" ref="AA142:AA205" si="36">IF(J142&gt;AB$10,W142/4,
IF(J142&gt;AA$10,W142/3,0))</f>
        <v>86148.285591992957</v>
      </c>
      <c r="AB142" s="60">
        <f t="shared" ref="AB142:AB205" si="37">IF(J142&gt;AB$10,W142/4,0)</f>
        <v>86148.285591992957</v>
      </c>
    </row>
    <row r="143" spans="2:28" x14ac:dyDescent="0.35">
      <c r="B143">
        <v>434</v>
      </c>
      <c r="C143" s="17">
        <v>7</v>
      </c>
      <c r="D143" s="22" t="s">
        <v>160</v>
      </c>
      <c r="E143" s="90">
        <v>278.2588789507293</v>
      </c>
      <c r="F143" s="5">
        <v>149239.71</v>
      </c>
      <c r="G143" s="5">
        <v>0</v>
      </c>
      <c r="H143" s="5">
        <v>149239.71</v>
      </c>
      <c r="I143" s="58">
        <f t="shared" si="26"/>
        <v>536.33404462333635</v>
      </c>
      <c r="J143">
        <v>365</v>
      </c>
      <c r="K143" s="128" t="str">
        <f t="shared" si="29"/>
        <v>-</v>
      </c>
      <c r="L143" s="96">
        <f t="shared" si="30"/>
        <v>149239.71</v>
      </c>
      <c r="M143" s="96">
        <f t="shared" si="31"/>
        <v>83249.509409923383</v>
      </c>
      <c r="N143" s="60"/>
      <c r="O143" s="60">
        <f>IFERROR(INDEX('Revised 2020 MFAM(2020 PYAs)'!U$20:U$269,MATCH(B143,'Revised 2020 MFAM(2020 PYAs)'!B$20:B$269,0)),0)</f>
        <v>-114.34144095946976</v>
      </c>
      <c r="P143" s="60">
        <f>IFERROR(INDEX('Revised 2020 MFAM(2019 PYAs)'!AF$26:AF$274,MATCH(B143,'Revised 2020 MFAM(2019 PYAs)'!B$26:B$274,0)),0)</f>
        <v>-0.5876418827829184</v>
      </c>
      <c r="Q143" s="60">
        <f t="shared" si="32"/>
        <v>-2.3321388302173425</v>
      </c>
      <c r="R143" s="60">
        <f t="shared" si="33"/>
        <v>-117.26122167247003</v>
      </c>
      <c r="S143" s="60"/>
      <c r="T143" s="108">
        <f t="shared" si="25"/>
        <v>83132.248188250916</v>
      </c>
      <c r="U143" s="109">
        <v>0</v>
      </c>
      <c r="V143" s="110">
        <f t="shared" si="27"/>
        <v>0</v>
      </c>
      <c r="W143" s="60">
        <f t="shared" si="28"/>
        <v>83132.248188250916</v>
      </c>
      <c r="X143" s="62"/>
      <c r="Y143" s="60">
        <f t="shared" si="34"/>
        <v>20783.062047062729</v>
      </c>
      <c r="Z143" s="60">
        <f t="shared" si="35"/>
        <v>20783.062047062729</v>
      </c>
      <c r="AA143" s="60">
        <f t="shared" si="36"/>
        <v>20783.062047062729</v>
      </c>
      <c r="AB143" s="60">
        <f t="shared" si="37"/>
        <v>20783.062047062729</v>
      </c>
    </row>
    <row r="144" spans="2:28" x14ac:dyDescent="0.35">
      <c r="B144">
        <v>437</v>
      </c>
      <c r="C144" s="17">
        <v>7</v>
      </c>
      <c r="D144" s="22" t="s">
        <v>161</v>
      </c>
      <c r="E144" s="90">
        <v>371.67552797006766</v>
      </c>
      <c r="F144" s="5">
        <v>261448.89</v>
      </c>
      <c r="G144" s="5">
        <v>0</v>
      </c>
      <c r="H144" s="5">
        <v>261448.89</v>
      </c>
      <c r="I144" s="58">
        <f t="shared" si="26"/>
        <v>703.43315694719456</v>
      </c>
      <c r="J144">
        <v>181</v>
      </c>
      <c r="K144" s="128">
        <f t="shared" si="29"/>
        <v>45108</v>
      </c>
      <c r="L144" s="96">
        <f t="shared" si="30"/>
        <v>129649.99750684932</v>
      </c>
      <c r="M144" s="96">
        <f t="shared" si="31"/>
        <v>72321.895341682161</v>
      </c>
      <c r="N144" s="60"/>
      <c r="O144" s="60">
        <f>IFERROR(INDEX('Revised 2020 MFAM(2020 PYAs)'!U$20:U$269,MATCH(B144,'Revised 2020 MFAM(2020 PYAs)'!B$20:B$269,0)),0)</f>
        <v>-204.8009552815638</v>
      </c>
      <c r="P144" s="60">
        <f>IFERROR(INDEX('Revised 2020 MFAM(2019 PYAs)'!AF$26:AF$274,MATCH(B144,'Revised 2020 MFAM(2019 PYAs)'!B$26:B$274,0)),0)</f>
        <v>4.9020796666591195</v>
      </c>
      <c r="Q144" s="60">
        <f t="shared" si="32"/>
        <v>-2.0260143464718943</v>
      </c>
      <c r="R144" s="60">
        <f t="shared" si="33"/>
        <v>-201.92488996137658</v>
      </c>
      <c r="S144" s="60"/>
      <c r="T144" s="108">
        <f t="shared" ref="T144:T207" si="38">M144+R144</f>
        <v>72119.970451720787</v>
      </c>
      <c r="U144" s="109">
        <v>0</v>
      </c>
      <c r="V144" s="110">
        <f t="shared" si="27"/>
        <v>0</v>
      </c>
      <c r="W144" s="60">
        <f t="shared" si="28"/>
        <v>72119.970451720787</v>
      </c>
      <c r="X144" s="62"/>
      <c r="Y144" s="60">
        <f t="shared" si="34"/>
        <v>36059.985225860393</v>
      </c>
      <c r="Z144" s="60">
        <f t="shared" si="35"/>
        <v>36059.985225860393</v>
      </c>
      <c r="AA144" s="60">
        <f t="shared" si="36"/>
        <v>0</v>
      </c>
      <c r="AB144" s="60">
        <f t="shared" si="37"/>
        <v>0</v>
      </c>
    </row>
    <row r="145" spans="2:28" x14ac:dyDescent="0.35">
      <c r="B145">
        <v>502</v>
      </c>
      <c r="C145" s="17">
        <v>7</v>
      </c>
      <c r="D145" s="22" t="s">
        <v>162</v>
      </c>
      <c r="E145" s="90">
        <v>529.24012483164188</v>
      </c>
      <c r="F145" s="5">
        <v>528372.12</v>
      </c>
      <c r="G145" s="5">
        <v>136878.49</v>
      </c>
      <c r="H145" s="5">
        <v>391493.63</v>
      </c>
      <c r="I145" s="58">
        <f t="shared" si="26"/>
        <v>739.72779392820826</v>
      </c>
      <c r="J145">
        <v>365</v>
      </c>
      <c r="K145" s="128" t="str">
        <f t="shared" si="29"/>
        <v>-</v>
      </c>
      <c r="L145" s="96">
        <f t="shared" si="30"/>
        <v>391493.62999999995</v>
      </c>
      <c r="M145" s="96">
        <f t="shared" si="31"/>
        <v>218384.58835527123</v>
      </c>
      <c r="N145" s="60"/>
      <c r="O145" s="60">
        <f>IFERROR(INDEX('Revised 2020 MFAM(2020 PYAs)'!U$20:U$269,MATCH(B145,'Revised 2020 MFAM(2020 PYAs)'!B$20:B$269,0)),0)</f>
        <v>-371.94279811004526</v>
      </c>
      <c r="P145" s="60">
        <f>IFERROR(INDEX('Revised 2020 MFAM(2019 PYAs)'!AF$26:AF$274,MATCH(B145,'Revised 2020 MFAM(2019 PYAs)'!B$26:B$274,0)),0)</f>
        <v>-1.2565778120333562</v>
      </c>
      <c r="Q145" s="60">
        <f t="shared" si="32"/>
        <v>-6.1177919489775272</v>
      </c>
      <c r="R145" s="60">
        <f t="shared" si="33"/>
        <v>-379.31716787105614</v>
      </c>
      <c r="S145" s="60"/>
      <c r="T145" s="108">
        <f t="shared" si="38"/>
        <v>218005.27118740018</v>
      </c>
      <c r="U145" s="109">
        <v>0</v>
      </c>
      <c r="V145" s="110">
        <f t="shared" si="27"/>
        <v>0</v>
      </c>
      <c r="W145" s="60">
        <f t="shared" si="28"/>
        <v>218005.27118740018</v>
      </c>
      <c r="X145" s="62"/>
      <c r="Y145" s="60">
        <f t="shared" si="34"/>
        <v>54501.317796850046</v>
      </c>
      <c r="Z145" s="60">
        <f t="shared" si="35"/>
        <v>54501.317796850046</v>
      </c>
      <c r="AA145" s="60">
        <f t="shared" si="36"/>
        <v>54501.317796850046</v>
      </c>
      <c r="AB145" s="60">
        <f t="shared" si="37"/>
        <v>54501.317796850046</v>
      </c>
    </row>
    <row r="146" spans="2:28" x14ac:dyDescent="0.35">
      <c r="B146">
        <v>503</v>
      </c>
      <c r="C146" s="17">
        <v>7</v>
      </c>
      <c r="D146" s="22" t="s">
        <v>163</v>
      </c>
      <c r="E146" s="90">
        <v>372.29</v>
      </c>
      <c r="F146" s="5">
        <v>259301.49</v>
      </c>
      <c r="G146" s="5">
        <v>69322.05</v>
      </c>
      <c r="H146" s="5">
        <v>189979.44</v>
      </c>
      <c r="I146" s="58">
        <f t="shared" si="26"/>
        <v>510.29960514652555</v>
      </c>
      <c r="J146">
        <v>181</v>
      </c>
      <c r="K146" s="128">
        <f t="shared" si="29"/>
        <v>45108</v>
      </c>
      <c r="L146" s="96">
        <f t="shared" si="30"/>
        <v>94208.982575342467</v>
      </c>
      <c r="M146" s="96">
        <f t="shared" si="31"/>
        <v>52552.042491943197</v>
      </c>
      <c r="N146" s="60"/>
      <c r="O146" s="60">
        <f>IFERROR(INDEX('Revised 2020 MFAM(2020 PYAs)'!U$20:U$269,MATCH(B146,'Revised 2020 MFAM(2020 PYAs)'!B$20:B$269,0)),0)</f>
        <v>-158.43843002636277</v>
      </c>
      <c r="P146" s="60">
        <f>IFERROR(INDEX('Revised 2020 MFAM(2019 PYAs)'!AF$26:AF$274,MATCH(B146,'Revised 2020 MFAM(2019 PYAs)'!B$26:B$274,0)),0)</f>
        <v>-0.83744230153388344</v>
      </c>
      <c r="Q146" s="60">
        <f t="shared" si="32"/>
        <v>-1.472184758461573</v>
      </c>
      <c r="R146" s="60">
        <f t="shared" si="33"/>
        <v>-160.74805708635822</v>
      </c>
      <c r="S146" s="60"/>
      <c r="T146" s="108">
        <f t="shared" si="38"/>
        <v>52391.294434856842</v>
      </c>
      <c r="U146" s="109">
        <v>0</v>
      </c>
      <c r="V146" s="110">
        <f t="shared" si="27"/>
        <v>0</v>
      </c>
      <c r="W146" s="60">
        <f t="shared" si="28"/>
        <v>52391.294434856842</v>
      </c>
      <c r="X146" s="62"/>
      <c r="Y146" s="60">
        <f t="shared" si="34"/>
        <v>26195.647217428421</v>
      </c>
      <c r="Z146" s="60">
        <f t="shared" si="35"/>
        <v>26195.647217428421</v>
      </c>
      <c r="AA146" s="60">
        <f t="shared" si="36"/>
        <v>0</v>
      </c>
      <c r="AB146" s="60">
        <f t="shared" si="37"/>
        <v>0</v>
      </c>
    </row>
    <row r="147" spans="2:28" x14ac:dyDescent="0.35">
      <c r="B147">
        <v>510</v>
      </c>
      <c r="C147" s="17">
        <v>7</v>
      </c>
      <c r="D147" s="22" t="s">
        <v>164</v>
      </c>
      <c r="E147" s="90">
        <v>519.01249635663896</v>
      </c>
      <c r="F147" s="5">
        <v>519468.69</v>
      </c>
      <c r="G147" s="5">
        <v>43742.12</v>
      </c>
      <c r="H147" s="5">
        <v>475726.57</v>
      </c>
      <c r="I147" s="58">
        <f t="shared" si="26"/>
        <v>916.59945249777752</v>
      </c>
      <c r="J147">
        <v>365</v>
      </c>
      <c r="K147" s="128" t="str">
        <f t="shared" si="29"/>
        <v>-</v>
      </c>
      <c r="L147" s="96">
        <f t="shared" si="30"/>
        <v>475726.57</v>
      </c>
      <c r="M147" s="96">
        <f t="shared" si="31"/>
        <v>265371.75370928808</v>
      </c>
      <c r="N147" s="60"/>
      <c r="O147" s="60">
        <f>IFERROR(INDEX('Revised 2020 MFAM(2020 PYAs)'!U$20:U$269,MATCH(B147,'Revised 2020 MFAM(2020 PYAs)'!B$20:B$269,0)),0)</f>
        <v>-300.06032382207923</v>
      </c>
      <c r="P147" s="60">
        <f>IFERROR(INDEX('Revised 2020 MFAM(2019 PYAs)'!AF$26:AF$274,MATCH(B147,'Revised 2020 MFAM(2019 PYAs)'!B$26:B$274,0)),0)</f>
        <v>-1.2204120275127934</v>
      </c>
      <c r="Q147" s="60">
        <f t="shared" si="32"/>
        <v>-7.4340831033718091</v>
      </c>
      <c r="R147" s="60">
        <f t="shared" si="33"/>
        <v>-308.71481895296381</v>
      </c>
      <c r="S147" s="60"/>
      <c r="T147" s="108">
        <f t="shared" si="38"/>
        <v>265063.03889033513</v>
      </c>
      <c r="U147" s="109">
        <v>0</v>
      </c>
      <c r="V147" s="110">
        <f t="shared" si="27"/>
        <v>0</v>
      </c>
      <c r="W147" s="60">
        <f t="shared" si="28"/>
        <v>265063.03889033513</v>
      </c>
      <c r="X147" s="62"/>
      <c r="Y147" s="60">
        <f t="shared" si="34"/>
        <v>66265.759722583782</v>
      </c>
      <c r="Z147" s="60">
        <f t="shared" si="35"/>
        <v>66265.759722583782</v>
      </c>
      <c r="AA147" s="60">
        <f t="shared" si="36"/>
        <v>66265.759722583782</v>
      </c>
      <c r="AB147" s="60">
        <f t="shared" si="37"/>
        <v>66265.759722583782</v>
      </c>
    </row>
    <row r="148" spans="2:28" x14ac:dyDescent="0.35">
      <c r="B148">
        <v>531</v>
      </c>
      <c r="C148" s="17">
        <v>7</v>
      </c>
      <c r="D148" s="22" t="s">
        <v>165</v>
      </c>
      <c r="E148" s="90">
        <v>1874.19</v>
      </c>
      <c r="F148" s="5">
        <v>622586.96</v>
      </c>
      <c r="G148" s="5">
        <v>11689.38</v>
      </c>
      <c r="H148" s="5">
        <v>610897.57999999996</v>
      </c>
      <c r="I148" s="58">
        <f t="shared" si="26"/>
        <v>325.95285429972409</v>
      </c>
      <c r="J148">
        <v>365</v>
      </c>
      <c r="K148" s="128" t="str">
        <f t="shared" si="29"/>
        <v>-</v>
      </c>
      <c r="L148" s="96">
        <f t="shared" si="30"/>
        <v>610897.57999999996</v>
      </c>
      <c r="M148" s="96">
        <f t="shared" si="31"/>
        <v>340773.40296834818</v>
      </c>
      <c r="N148" s="60"/>
      <c r="O148" s="60">
        <f>IFERROR(INDEX('Revised 2020 MFAM(2020 PYAs)'!U$20:U$269,MATCH(B148,'Revised 2020 MFAM(2020 PYAs)'!B$20:B$269,0)),0)</f>
        <v>-511.6994846626767</v>
      </c>
      <c r="P148" s="60">
        <f>IFERROR(INDEX('Revised 2020 MFAM(2019 PYAs)'!AF$26:AF$274,MATCH(B148,'Revised 2020 MFAM(2019 PYAs)'!B$26:B$274,0)),0)</f>
        <v>-3.0451808066572994</v>
      </c>
      <c r="Q148" s="60">
        <f t="shared" si="32"/>
        <v>-9.5463731978828257</v>
      </c>
      <c r="R148" s="60">
        <f t="shared" si="33"/>
        <v>-524.29103866721687</v>
      </c>
      <c r="S148" s="60"/>
      <c r="T148" s="108">
        <f t="shared" si="38"/>
        <v>340249.11192968098</v>
      </c>
      <c r="U148" s="109">
        <v>0</v>
      </c>
      <c r="V148" s="110">
        <f t="shared" si="27"/>
        <v>0</v>
      </c>
      <c r="W148" s="60">
        <f t="shared" si="28"/>
        <v>340249.11192968098</v>
      </c>
      <c r="X148" s="62"/>
      <c r="Y148" s="60">
        <f t="shared" si="34"/>
        <v>85062.277982420244</v>
      </c>
      <c r="Z148" s="60">
        <f t="shared" si="35"/>
        <v>85062.277982420244</v>
      </c>
      <c r="AA148" s="60">
        <f t="shared" si="36"/>
        <v>85062.277982420244</v>
      </c>
      <c r="AB148" s="60">
        <f t="shared" si="37"/>
        <v>85062.277982420244</v>
      </c>
    </row>
    <row r="149" spans="2:28" x14ac:dyDescent="0.35">
      <c r="B149">
        <v>550</v>
      </c>
      <c r="C149" s="17">
        <v>7</v>
      </c>
      <c r="D149" s="22" t="s">
        <v>166</v>
      </c>
      <c r="E149" s="90">
        <v>308.13</v>
      </c>
      <c r="F149" s="5">
        <v>471412.32</v>
      </c>
      <c r="G149" s="5">
        <v>0</v>
      </c>
      <c r="H149" s="5">
        <v>471412.32</v>
      </c>
      <c r="I149" s="58">
        <f t="shared" si="26"/>
        <v>1529.9137377081101</v>
      </c>
      <c r="J149">
        <v>365</v>
      </c>
      <c r="K149" s="128" t="str">
        <f t="shared" si="29"/>
        <v>-</v>
      </c>
      <c r="L149" s="96">
        <f t="shared" si="30"/>
        <v>471412.32</v>
      </c>
      <c r="M149" s="96">
        <f t="shared" si="31"/>
        <v>262965.16101373965</v>
      </c>
      <c r="N149" s="60"/>
      <c r="O149" s="60">
        <f>IFERROR(INDEX('Revised 2020 MFAM(2020 PYAs)'!U$20:U$269,MATCH(B149,'Revised 2020 MFAM(2020 PYAs)'!B$20:B$269,0)),0)</f>
        <v>-381.5891336457571</v>
      </c>
      <c r="P149" s="60">
        <f>IFERROR(INDEX('Revised 2020 MFAM(2019 PYAs)'!AF$26:AF$274,MATCH(B149,'Revised 2020 MFAM(2019 PYAs)'!B$26:B$274,0)),0)</f>
        <v>-1.8984597647795454</v>
      </c>
      <c r="Q149" s="60">
        <f t="shared" si="32"/>
        <v>-7.3666651892773274</v>
      </c>
      <c r="R149" s="60">
        <f t="shared" si="33"/>
        <v>-390.85425859981399</v>
      </c>
      <c r="S149" s="60"/>
      <c r="T149" s="108">
        <f t="shared" si="38"/>
        <v>262574.30675513984</v>
      </c>
      <c r="U149" s="109">
        <v>0</v>
      </c>
      <c r="V149" s="110">
        <f t="shared" si="27"/>
        <v>0</v>
      </c>
      <c r="W149" s="60">
        <f t="shared" si="28"/>
        <v>262574.30675513984</v>
      </c>
      <c r="X149" s="62"/>
      <c r="Y149" s="60">
        <f t="shared" si="34"/>
        <v>65643.57668878496</v>
      </c>
      <c r="Z149" s="60">
        <f t="shared" si="35"/>
        <v>65643.57668878496</v>
      </c>
      <c r="AA149" s="60">
        <f t="shared" si="36"/>
        <v>65643.57668878496</v>
      </c>
      <c r="AB149" s="60">
        <f t="shared" si="37"/>
        <v>65643.57668878496</v>
      </c>
    </row>
    <row r="150" spans="2:28" x14ac:dyDescent="0.35">
      <c r="B150">
        <v>551</v>
      </c>
      <c r="C150" s="17">
        <v>7</v>
      </c>
      <c r="D150" s="22" t="s">
        <v>167</v>
      </c>
      <c r="E150" s="90">
        <v>169.4680961375484</v>
      </c>
      <c r="F150" s="5">
        <v>245009.89</v>
      </c>
      <c r="G150" s="5">
        <v>0</v>
      </c>
      <c r="H150" s="5">
        <v>245009.89</v>
      </c>
      <c r="I150" s="58">
        <f t="shared" si="26"/>
        <v>1445.7582021877338</v>
      </c>
      <c r="J150">
        <v>181</v>
      </c>
      <c r="K150" s="128">
        <f t="shared" si="29"/>
        <v>45108</v>
      </c>
      <c r="L150" s="96">
        <f t="shared" si="30"/>
        <v>121498.0550410959</v>
      </c>
      <c r="M150" s="96">
        <f t="shared" si="31"/>
        <v>67774.545236191509</v>
      </c>
      <c r="N150" s="60"/>
      <c r="O150" s="60">
        <f>IFERROR(INDEX('Revised 2020 MFAM(2020 PYAs)'!U$20:U$269,MATCH(B150,'Revised 2020 MFAM(2020 PYAs)'!B$20:B$269,0)),0)</f>
        <v>-163.42438990324445</v>
      </c>
      <c r="P150" s="60">
        <f>IFERROR(INDEX('Revised 2020 MFAM(2019 PYAs)'!AF$26:AF$274,MATCH(B150,'Revised 2020 MFAM(2019 PYAs)'!B$26:B$274,0)),0)</f>
        <v>-0.51928958129428793</v>
      </c>
      <c r="Q150" s="60">
        <f t="shared" si="32"/>
        <v>-1.89862558669689</v>
      </c>
      <c r="R150" s="60">
        <f t="shared" si="33"/>
        <v>-165.84230507123561</v>
      </c>
      <c r="S150" s="60"/>
      <c r="T150" s="108">
        <f t="shared" si="38"/>
        <v>67608.702931120279</v>
      </c>
      <c r="U150" s="109">
        <v>0</v>
      </c>
      <c r="V150" s="110">
        <f t="shared" si="27"/>
        <v>0</v>
      </c>
      <c r="W150" s="60">
        <f t="shared" si="28"/>
        <v>67608.702931120279</v>
      </c>
      <c r="X150" s="62"/>
      <c r="Y150" s="60">
        <f t="shared" si="34"/>
        <v>33804.351465560139</v>
      </c>
      <c r="Z150" s="60">
        <f t="shared" si="35"/>
        <v>33804.351465560139</v>
      </c>
      <c r="AA150" s="60">
        <f t="shared" si="36"/>
        <v>0</v>
      </c>
      <c r="AB150" s="60">
        <f t="shared" si="37"/>
        <v>0</v>
      </c>
    </row>
    <row r="151" spans="2:28" x14ac:dyDescent="0.35">
      <c r="B151">
        <v>555</v>
      </c>
      <c r="C151" s="17">
        <v>7</v>
      </c>
      <c r="D151" s="22" t="s">
        <v>168</v>
      </c>
      <c r="E151" s="90">
        <v>704.96610721467391</v>
      </c>
      <c r="F151" s="5">
        <v>702848.75</v>
      </c>
      <c r="G151" s="5">
        <v>331.8</v>
      </c>
      <c r="H151" s="5">
        <v>702516.95</v>
      </c>
      <c r="I151" s="58">
        <f t="shared" si="26"/>
        <v>996.52585111594851</v>
      </c>
      <c r="J151">
        <v>181</v>
      </c>
      <c r="K151" s="128">
        <f t="shared" si="29"/>
        <v>45108</v>
      </c>
      <c r="L151" s="96">
        <f t="shared" si="30"/>
        <v>348371.41904109588</v>
      </c>
      <c r="M151" s="96">
        <f t="shared" si="31"/>
        <v>194329.9791162156</v>
      </c>
      <c r="N151" s="60"/>
      <c r="O151" s="60">
        <f>IFERROR(INDEX('Revised 2020 MFAM(2020 PYAs)'!U$20:U$269,MATCH(B151,'Revised 2020 MFAM(2020 PYAs)'!B$20:B$269,0)),0)</f>
        <v>-477.8737148042419</v>
      </c>
      <c r="P151" s="60">
        <f>IFERROR(INDEX('Revised 2020 MFAM(2019 PYAs)'!AF$26:AF$274,MATCH(B151,'Revised 2020 MFAM(2019 PYAs)'!B$26:B$274,0)),0)</f>
        <v>8.8165032581309788</v>
      </c>
      <c r="Q151" s="60">
        <f t="shared" si="32"/>
        <v>-5.4439298607834141</v>
      </c>
      <c r="R151" s="60">
        <f t="shared" si="33"/>
        <v>-474.50114140689436</v>
      </c>
      <c r="S151" s="60"/>
      <c r="T151" s="108">
        <f t="shared" si="38"/>
        <v>193855.47797480872</v>
      </c>
      <c r="U151" s="109">
        <v>0</v>
      </c>
      <c r="V151" s="110">
        <f t="shared" si="27"/>
        <v>0</v>
      </c>
      <c r="W151" s="60">
        <f t="shared" si="28"/>
        <v>193855.47797480872</v>
      </c>
      <c r="X151" s="62"/>
      <c r="Y151" s="60">
        <f t="shared" si="34"/>
        <v>96927.738987404358</v>
      </c>
      <c r="Z151" s="60">
        <f t="shared" si="35"/>
        <v>96927.738987404358</v>
      </c>
      <c r="AA151" s="60">
        <f t="shared" si="36"/>
        <v>0</v>
      </c>
      <c r="AB151" s="60">
        <f t="shared" si="37"/>
        <v>0</v>
      </c>
    </row>
    <row r="152" spans="2:28" x14ac:dyDescent="0.35">
      <c r="B152">
        <v>556</v>
      </c>
      <c r="C152" s="17">
        <v>7</v>
      </c>
      <c r="D152" s="22" t="s">
        <v>169</v>
      </c>
      <c r="E152" s="90">
        <v>363.4605439735771</v>
      </c>
      <c r="F152" s="5">
        <v>245385.33</v>
      </c>
      <c r="G152" s="5">
        <v>16230.57</v>
      </c>
      <c r="H152" s="5">
        <v>229154.75999999998</v>
      </c>
      <c r="I152" s="58">
        <f t="shared" si="26"/>
        <v>630.48042985556935</v>
      </c>
      <c r="J152">
        <v>209</v>
      </c>
      <c r="K152" s="128">
        <f t="shared" si="29"/>
        <v>45136</v>
      </c>
      <c r="L152" s="96">
        <f t="shared" si="30"/>
        <v>131214.64339726025</v>
      </c>
      <c r="M152" s="96">
        <f t="shared" si="31"/>
        <v>73194.69255347627</v>
      </c>
      <c r="N152" s="60"/>
      <c r="O152" s="60">
        <f>IFERROR(INDEX('Revised 2020 MFAM(2020 PYAs)'!U$20:U$269,MATCH(B152,'Revised 2020 MFAM(2020 PYAs)'!B$20:B$269,0)),0)</f>
        <v>-415.22158614799264</v>
      </c>
      <c r="P152" s="60">
        <f>IFERROR(INDEX('Revised 2020 MFAM(2019 PYAs)'!AF$26:AF$274,MATCH(B152,'Revised 2020 MFAM(2019 PYAs)'!B$26:B$274,0)),0)</f>
        <v>-0.85199124089558609</v>
      </c>
      <c r="Q152" s="60">
        <f t="shared" si="32"/>
        <v>-2.050464752041345</v>
      </c>
      <c r="R152" s="60">
        <f t="shared" si="33"/>
        <v>-418.12404214092959</v>
      </c>
      <c r="S152" s="60"/>
      <c r="T152" s="108">
        <f t="shared" si="38"/>
        <v>72776.568511335339</v>
      </c>
      <c r="U152" s="109">
        <v>0</v>
      </c>
      <c r="V152" s="110">
        <f t="shared" si="27"/>
        <v>0</v>
      </c>
      <c r="W152" s="60">
        <f t="shared" si="28"/>
        <v>72776.568511335339</v>
      </c>
      <c r="X152" s="62"/>
      <c r="Y152" s="60">
        <f t="shared" si="34"/>
        <v>36388.28425566767</v>
      </c>
      <c r="Z152" s="60">
        <f t="shared" si="35"/>
        <v>36388.28425566767</v>
      </c>
      <c r="AA152" s="60">
        <f t="shared" si="36"/>
        <v>0</v>
      </c>
      <c r="AB152" s="60">
        <f t="shared" si="37"/>
        <v>0</v>
      </c>
    </row>
    <row r="153" spans="2:28" x14ac:dyDescent="0.35">
      <c r="B153">
        <v>558</v>
      </c>
      <c r="C153" s="17">
        <v>7</v>
      </c>
      <c r="D153" s="22" t="s">
        <v>170</v>
      </c>
      <c r="E153" s="90">
        <v>421.45934160974099</v>
      </c>
      <c r="F153" s="5">
        <v>400298.75</v>
      </c>
      <c r="G153" s="5">
        <v>0</v>
      </c>
      <c r="H153" s="5">
        <v>400298.75</v>
      </c>
      <c r="I153" s="58">
        <f t="shared" si="26"/>
        <v>949.79209256836191</v>
      </c>
      <c r="J153">
        <v>181</v>
      </c>
      <c r="K153" s="128">
        <f t="shared" si="29"/>
        <v>45108</v>
      </c>
      <c r="L153" s="96">
        <f t="shared" si="30"/>
        <v>198504.31164383562</v>
      </c>
      <c r="M153" s="96">
        <f t="shared" si="31"/>
        <v>110730.49230733467</v>
      </c>
      <c r="N153" s="60"/>
      <c r="O153" s="60">
        <f>IFERROR(INDEX('Revised 2020 MFAM(2020 PYAs)'!U$20:U$269,MATCH(B153,'Revised 2020 MFAM(2020 PYAs)'!B$20:B$269,0)),0)</f>
        <v>-1032.3092461150954</v>
      </c>
      <c r="P153" s="60">
        <f>IFERROR(INDEX('Revised 2020 MFAM(2019 PYAs)'!AF$26:AF$274,MATCH(B153,'Revised 2020 MFAM(2019 PYAs)'!B$26:B$274,0)),0)</f>
        <v>-0.98459888511570171</v>
      </c>
      <c r="Q153" s="60">
        <f t="shared" si="32"/>
        <v>-3.1019868180536774</v>
      </c>
      <c r="R153" s="60">
        <f t="shared" si="33"/>
        <v>-1036.3958318182649</v>
      </c>
      <c r="S153" s="60"/>
      <c r="T153" s="108">
        <f t="shared" si="38"/>
        <v>109694.0964755164</v>
      </c>
      <c r="U153" s="109">
        <v>0</v>
      </c>
      <c r="V153" s="110">
        <f t="shared" si="27"/>
        <v>0</v>
      </c>
      <c r="W153" s="60">
        <f t="shared" si="28"/>
        <v>109694.0964755164</v>
      </c>
      <c r="X153" s="62"/>
      <c r="Y153" s="60">
        <f t="shared" si="34"/>
        <v>54847.048237758201</v>
      </c>
      <c r="Z153" s="60">
        <f t="shared" si="35"/>
        <v>54847.048237758201</v>
      </c>
      <c r="AA153" s="60">
        <f t="shared" si="36"/>
        <v>0</v>
      </c>
      <c r="AB153" s="60">
        <f t="shared" si="37"/>
        <v>0</v>
      </c>
    </row>
    <row r="154" spans="2:28" x14ac:dyDescent="0.35">
      <c r="B154">
        <v>600</v>
      </c>
      <c r="C154" s="17">
        <v>7</v>
      </c>
      <c r="D154" s="22" t="s">
        <v>171</v>
      </c>
      <c r="E154" s="90">
        <v>708.99</v>
      </c>
      <c r="F154" s="5">
        <v>313872.88</v>
      </c>
      <c r="G154" s="5">
        <v>0</v>
      </c>
      <c r="H154" s="5">
        <v>313872.88</v>
      </c>
      <c r="I154" s="58">
        <f t="shared" si="26"/>
        <v>442.70424124458737</v>
      </c>
      <c r="J154">
        <v>273</v>
      </c>
      <c r="K154" s="128">
        <f t="shared" si="29"/>
        <v>45200</v>
      </c>
      <c r="L154" s="96">
        <f t="shared" si="30"/>
        <v>234759.71572602738</v>
      </c>
      <c r="M154" s="96">
        <f t="shared" si="31"/>
        <v>130954.63106571873</v>
      </c>
      <c r="N154" s="60"/>
      <c r="O154" s="60">
        <f>IFERROR(INDEX('Revised 2020 MFAM(2020 PYAs)'!U$20:U$269,MATCH(B154,'Revised 2020 MFAM(2020 PYAs)'!B$20:B$269,0)),0)</f>
        <v>-268.78817050036741</v>
      </c>
      <c r="P154" s="60">
        <f>IFERROR(INDEX('Revised 2020 MFAM(2019 PYAs)'!AF$26:AF$274,MATCH(B154,'Revised 2020 MFAM(2019 PYAs)'!B$26:B$274,0)),0)</f>
        <v>-1.4056077084969729</v>
      </c>
      <c r="Q154" s="60">
        <f t="shared" si="32"/>
        <v>-3.6685427009704945</v>
      </c>
      <c r="R154" s="60">
        <f t="shared" si="33"/>
        <v>-273.86232090983486</v>
      </c>
      <c r="S154" s="60"/>
      <c r="T154" s="108">
        <f t="shared" si="38"/>
        <v>130680.7687448089</v>
      </c>
      <c r="U154" s="109">
        <v>0</v>
      </c>
      <c r="V154" s="110">
        <f t="shared" si="27"/>
        <v>0</v>
      </c>
      <c r="W154" s="60">
        <f t="shared" si="28"/>
        <v>130680.7687448089</v>
      </c>
      <c r="X154" s="62"/>
      <c r="Y154" s="60">
        <f t="shared" si="34"/>
        <v>43560.25624826963</v>
      </c>
      <c r="Z154" s="60">
        <f t="shared" si="35"/>
        <v>43560.25624826963</v>
      </c>
      <c r="AA154" s="60">
        <f t="shared" si="36"/>
        <v>43560.25624826963</v>
      </c>
      <c r="AB154" s="60">
        <f t="shared" si="37"/>
        <v>0</v>
      </c>
    </row>
    <row r="155" spans="2:28" x14ac:dyDescent="0.35">
      <c r="B155">
        <v>604</v>
      </c>
      <c r="C155" s="17">
        <v>7</v>
      </c>
      <c r="D155" s="22" t="s">
        <v>172</v>
      </c>
      <c r="E155" s="90">
        <v>498.49234448912694</v>
      </c>
      <c r="F155" s="5">
        <v>237946.55</v>
      </c>
      <c r="G155" s="5">
        <v>490</v>
      </c>
      <c r="H155" s="5">
        <v>237456.55</v>
      </c>
      <c r="I155" s="58">
        <f t="shared" si="26"/>
        <v>476.34944172182639</v>
      </c>
      <c r="J155">
        <v>365</v>
      </c>
      <c r="K155" s="128" t="str">
        <f t="shared" si="29"/>
        <v>-</v>
      </c>
      <c r="L155" s="96">
        <f t="shared" si="30"/>
        <v>237456.55</v>
      </c>
      <c r="M155" s="96">
        <f t="shared" si="31"/>
        <v>132458.99026253095</v>
      </c>
      <c r="N155" s="60"/>
      <c r="O155" s="60">
        <f>IFERROR(INDEX('Revised 2020 MFAM(2020 PYAs)'!U$20:U$269,MATCH(B155,'Revised 2020 MFAM(2020 PYAs)'!B$20:B$269,0)),0)</f>
        <v>-181.90626890242856</v>
      </c>
      <c r="P155" s="60">
        <f>IFERROR(INDEX('Revised 2020 MFAM(2019 PYAs)'!AF$26:AF$274,MATCH(B155,'Revised 2020 MFAM(2019 PYAs)'!B$26:B$274,0)),0)</f>
        <v>-1.0138613887975225</v>
      </c>
      <c r="Q155" s="60">
        <f t="shared" si="32"/>
        <v>-3.7106855859237862</v>
      </c>
      <c r="R155" s="60">
        <f t="shared" si="33"/>
        <v>-186.63081587714987</v>
      </c>
      <c r="S155" s="60"/>
      <c r="T155" s="108">
        <f t="shared" si="38"/>
        <v>132272.35944665381</v>
      </c>
      <c r="U155" s="109">
        <v>0</v>
      </c>
      <c r="V155" s="110">
        <f t="shared" si="27"/>
        <v>0</v>
      </c>
      <c r="W155" s="60">
        <f t="shared" si="28"/>
        <v>132272.35944665381</v>
      </c>
      <c r="X155" s="62"/>
      <c r="Y155" s="60">
        <f t="shared" si="34"/>
        <v>33068.089861663451</v>
      </c>
      <c r="Z155" s="60">
        <f t="shared" si="35"/>
        <v>33068.089861663451</v>
      </c>
      <c r="AA155" s="60">
        <f t="shared" si="36"/>
        <v>33068.089861663451</v>
      </c>
      <c r="AB155" s="60">
        <f t="shared" si="37"/>
        <v>33068.089861663451</v>
      </c>
    </row>
    <row r="156" spans="2:28" x14ac:dyDescent="0.35">
      <c r="B156">
        <v>612</v>
      </c>
      <c r="C156" s="17">
        <v>7</v>
      </c>
      <c r="D156" s="22" t="s">
        <v>173</v>
      </c>
      <c r="E156" s="90">
        <v>453.86397505581891</v>
      </c>
      <c r="F156" s="5">
        <v>377644.54</v>
      </c>
      <c r="G156" s="5">
        <v>11769.55</v>
      </c>
      <c r="H156" s="5">
        <v>365874.99</v>
      </c>
      <c r="I156" s="58">
        <f t="shared" si="26"/>
        <v>806.13357769803713</v>
      </c>
      <c r="J156">
        <v>273</v>
      </c>
      <c r="K156" s="128">
        <f t="shared" si="29"/>
        <v>45200</v>
      </c>
      <c r="L156" s="96">
        <f t="shared" si="30"/>
        <v>273654.44457534247</v>
      </c>
      <c r="M156" s="96">
        <f t="shared" si="31"/>
        <v>152651.04883105395</v>
      </c>
      <c r="N156" s="60"/>
      <c r="O156" s="60">
        <f>IFERROR(INDEX('Revised 2020 MFAM(2020 PYAs)'!U$20:U$269,MATCH(B156,'Revised 2020 MFAM(2020 PYAs)'!B$20:B$269,0)),0)</f>
        <v>-270.14601112692617</v>
      </c>
      <c r="P156" s="60">
        <f>IFERROR(INDEX('Revised 2020 MFAM(2019 PYAs)'!AF$26:AF$274,MATCH(B156,'Revised 2020 MFAM(2019 PYAs)'!B$26:B$274,0)),0)</f>
        <v>-1.4531531095999526</v>
      </c>
      <c r="Q156" s="60">
        <f t="shared" si="32"/>
        <v>-4.2763427793830191</v>
      </c>
      <c r="R156" s="60">
        <f t="shared" si="33"/>
        <v>-275.87550701590914</v>
      </c>
      <c r="S156" s="60"/>
      <c r="T156" s="108">
        <f t="shared" si="38"/>
        <v>152375.17332403804</v>
      </c>
      <c r="U156" s="109">
        <v>0</v>
      </c>
      <c r="V156" s="110">
        <f t="shared" si="27"/>
        <v>0</v>
      </c>
      <c r="W156" s="60">
        <f t="shared" si="28"/>
        <v>152375.17332403804</v>
      </c>
      <c r="X156" s="62"/>
      <c r="Y156" s="60">
        <f t="shared" si="34"/>
        <v>50791.724441346014</v>
      </c>
      <c r="Z156" s="60">
        <f t="shared" si="35"/>
        <v>50791.724441346014</v>
      </c>
      <c r="AA156" s="60">
        <f t="shared" si="36"/>
        <v>50791.724441346014</v>
      </c>
      <c r="AB156" s="60">
        <f t="shared" si="37"/>
        <v>0</v>
      </c>
    </row>
    <row r="157" spans="2:28" x14ac:dyDescent="0.35">
      <c r="B157">
        <v>635</v>
      </c>
      <c r="C157" s="17">
        <v>7</v>
      </c>
      <c r="D157" s="22" t="s">
        <v>174</v>
      </c>
      <c r="E157" s="90">
        <v>60.46</v>
      </c>
      <c r="F157" s="5">
        <v>37987.919999999998</v>
      </c>
      <c r="G157" s="5">
        <v>0</v>
      </c>
      <c r="H157" s="5">
        <v>37987.919999999998</v>
      </c>
      <c r="I157" s="58">
        <f t="shared" si="26"/>
        <v>628.31491895468071</v>
      </c>
      <c r="J157">
        <v>365</v>
      </c>
      <c r="K157" s="128" t="str">
        <f t="shared" si="29"/>
        <v>-</v>
      </c>
      <c r="L157" s="96">
        <f t="shared" si="30"/>
        <v>37987.919999999998</v>
      </c>
      <c r="M157" s="96">
        <f t="shared" si="31"/>
        <v>21190.577919934422</v>
      </c>
      <c r="N157" s="60"/>
      <c r="O157" s="60">
        <f>IFERROR(INDEX('Revised 2020 MFAM(2020 PYAs)'!U$20:U$269,MATCH(B157,'Revised 2020 MFAM(2020 PYAs)'!B$20:B$269,0)),0)</f>
        <v>-31.595715634863154</v>
      </c>
      <c r="P157" s="60">
        <f>IFERROR(INDEX('Revised 2020 MFAM(2019 PYAs)'!AF$26:AF$274,MATCH(B157,'Revised 2020 MFAM(2019 PYAs)'!B$26:B$274,0)),0)</f>
        <v>-0.16581987736208248</v>
      </c>
      <c r="Q157" s="60">
        <f t="shared" si="32"/>
        <v>-0.5936295595266835</v>
      </c>
      <c r="R157" s="60">
        <f t="shared" si="33"/>
        <v>-32.355165071751919</v>
      </c>
      <c r="S157" s="60"/>
      <c r="T157" s="108">
        <f t="shared" si="38"/>
        <v>21158.222754862669</v>
      </c>
      <c r="U157" s="109">
        <v>0</v>
      </c>
      <c r="V157" s="110">
        <f t="shared" si="27"/>
        <v>0</v>
      </c>
      <c r="W157" s="60">
        <f t="shared" si="28"/>
        <v>21158.222754862669</v>
      </c>
      <c r="X157" s="62"/>
      <c r="Y157" s="60">
        <f t="shared" si="34"/>
        <v>5289.5556887156672</v>
      </c>
      <c r="Z157" s="60">
        <f t="shared" si="35"/>
        <v>5289.5556887156672</v>
      </c>
      <c r="AA157" s="60">
        <f t="shared" si="36"/>
        <v>5289.5556887156672</v>
      </c>
      <c r="AB157" s="60">
        <f t="shared" si="37"/>
        <v>5289.5556887156672</v>
      </c>
    </row>
    <row r="158" spans="2:28" x14ac:dyDescent="0.35">
      <c r="B158">
        <v>642</v>
      </c>
      <c r="C158" s="17">
        <v>7</v>
      </c>
      <c r="D158" s="22" t="s">
        <v>175</v>
      </c>
      <c r="E158" s="90">
        <v>99.389853341196087</v>
      </c>
      <c r="F158" s="5">
        <v>78515.11</v>
      </c>
      <c r="G158" s="5">
        <v>0</v>
      </c>
      <c r="H158" s="5">
        <v>78515.11</v>
      </c>
      <c r="I158" s="58">
        <f t="shared" si="26"/>
        <v>789.97108216333675</v>
      </c>
      <c r="J158">
        <v>365</v>
      </c>
      <c r="K158" s="128" t="str">
        <f t="shared" si="29"/>
        <v>-</v>
      </c>
      <c r="L158" s="96">
        <f t="shared" si="30"/>
        <v>78515.11</v>
      </c>
      <c r="M158" s="96">
        <f t="shared" si="31"/>
        <v>43797.621884726053</v>
      </c>
      <c r="N158" s="60"/>
      <c r="O158" s="60">
        <f>IFERROR(INDEX('Revised 2020 MFAM(2020 PYAs)'!U$20:U$269,MATCH(B158,'Revised 2020 MFAM(2020 PYAs)'!B$20:B$269,0)),0)</f>
        <v>-63.425964015586942</v>
      </c>
      <c r="P158" s="60">
        <f>IFERROR(INDEX('Revised 2020 MFAM(2019 PYAs)'!AF$26:AF$274,MATCH(B158,'Revised 2020 MFAM(2019 PYAs)'!B$26:B$274,0)),0)</f>
        <v>-0.28785273474204587</v>
      </c>
      <c r="Q158" s="60">
        <f t="shared" si="32"/>
        <v>-1.226939778895215</v>
      </c>
      <c r="R158" s="60">
        <f t="shared" si="33"/>
        <v>-64.940756529224203</v>
      </c>
      <c r="S158" s="60"/>
      <c r="T158" s="108">
        <f t="shared" si="38"/>
        <v>43732.681128196826</v>
      </c>
      <c r="U158" s="109">
        <v>0</v>
      </c>
      <c r="V158" s="110">
        <f t="shared" si="27"/>
        <v>0</v>
      </c>
      <c r="W158" s="60">
        <f t="shared" si="28"/>
        <v>43732.681128196826</v>
      </c>
      <c r="X158" s="62"/>
      <c r="Y158" s="60">
        <f t="shared" si="34"/>
        <v>10933.170282049206</v>
      </c>
      <c r="Z158" s="60">
        <f t="shared" si="35"/>
        <v>10933.170282049206</v>
      </c>
      <c r="AA158" s="60">
        <f t="shared" si="36"/>
        <v>10933.170282049206</v>
      </c>
      <c r="AB158" s="60">
        <f t="shared" si="37"/>
        <v>10933.170282049206</v>
      </c>
    </row>
    <row r="159" spans="2:28" x14ac:dyDescent="0.35">
      <c r="B159">
        <v>643</v>
      </c>
      <c r="C159" s="17">
        <v>7</v>
      </c>
      <c r="D159" s="22" t="s">
        <v>176</v>
      </c>
      <c r="E159" s="90">
        <v>6.6158716209853736</v>
      </c>
      <c r="F159" s="5">
        <v>39691.96</v>
      </c>
      <c r="G159" s="5">
        <v>0</v>
      </c>
      <c r="H159" s="5">
        <v>39691.96</v>
      </c>
      <c r="I159" s="58">
        <f t="shared" si="26"/>
        <v>5999.505775489677</v>
      </c>
      <c r="J159">
        <v>365</v>
      </c>
      <c r="K159" s="128" t="str">
        <f t="shared" si="29"/>
        <v>-</v>
      </c>
      <c r="L159" s="96">
        <f t="shared" si="30"/>
        <v>39691.96</v>
      </c>
      <c r="M159" s="96">
        <f t="shared" si="31"/>
        <v>22141.132527785685</v>
      </c>
      <c r="N159" s="60"/>
      <c r="O159" s="60">
        <f>IFERROR(INDEX('Revised 2020 MFAM(2020 PYAs)'!U$20:U$269,MATCH(B159,'Revised 2020 MFAM(2020 PYAs)'!B$20:B$269,0)),0)</f>
        <v>-21.461196921558439</v>
      </c>
      <c r="P159" s="60">
        <f>IFERROR(INDEX('Revised 2020 MFAM(2019 PYAs)'!AF$26:AF$274,MATCH(B159,'Revised 2020 MFAM(2019 PYAs)'!B$26:B$274,0)),0)</f>
        <v>0.13781450355372726</v>
      </c>
      <c r="Q159" s="60">
        <f t="shared" si="32"/>
        <v>-0.62025824871566393</v>
      </c>
      <c r="R159" s="60">
        <f t="shared" si="33"/>
        <v>-21.943640666720377</v>
      </c>
      <c r="S159" s="60"/>
      <c r="T159" s="108">
        <f t="shared" si="38"/>
        <v>22119.188887118966</v>
      </c>
      <c r="U159" s="109">
        <v>0</v>
      </c>
      <c r="V159" s="110">
        <f t="shared" si="27"/>
        <v>0</v>
      </c>
      <c r="W159" s="60">
        <f t="shared" si="28"/>
        <v>22119.188887118966</v>
      </c>
      <c r="X159" s="62"/>
      <c r="Y159" s="60">
        <f t="shared" si="34"/>
        <v>5529.7972217797414</v>
      </c>
      <c r="Z159" s="60">
        <f t="shared" si="35"/>
        <v>5529.7972217797414</v>
      </c>
      <c r="AA159" s="60">
        <f t="shared" si="36"/>
        <v>5529.7972217797414</v>
      </c>
      <c r="AB159" s="60">
        <f t="shared" si="37"/>
        <v>5529.7972217797414</v>
      </c>
    </row>
    <row r="160" spans="2:28" x14ac:dyDescent="0.35">
      <c r="B160">
        <v>711</v>
      </c>
      <c r="C160" s="17">
        <v>7</v>
      </c>
      <c r="D160" s="22" t="s">
        <v>177</v>
      </c>
      <c r="E160" s="90">
        <v>479.83000000000004</v>
      </c>
      <c r="F160" s="5">
        <v>303071.08</v>
      </c>
      <c r="G160" s="5">
        <v>32865.360000000001</v>
      </c>
      <c r="H160" s="5">
        <v>270205.72000000003</v>
      </c>
      <c r="I160" s="58">
        <f t="shared" si="26"/>
        <v>563.12802450868014</v>
      </c>
      <c r="J160">
        <v>365</v>
      </c>
      <c r="K160" s="128" t="str">
        <f t="shared" si="29"/>
        <v>-</v>
      </c>
      <c r="L160" s="96">
        <f t="shared" si="30"/>
        <v>270205.72000000003</v>
      </c>
      <c r="M160" s="96">
        <f t="shared" si="31"/>
        <v>150727.26709101166</v>
      </c>
      <c r="N160" s="60"/>
      <c r="O160" s="60">
        <f>IFERROR(INDEX('Revised 2020 MFAM(2020 PYAs)'!U$20:U$269,MATCH(B160,'Revised 2020 MFAM(2020 PYAs)'!B$20:B$269,0)),0)</f>
        <v>-184.18512829316023</v>
      </c>
      <c r="P160" s="60">
        <f>IFERROR(INDEX('Revised 2020 MFAM(2019 PYAs)'!AF$26:AF$274,MATCH(B160,'Revised 2020 MFAM(2019 PYAs)'!B$26:B$274,0)),0)</f>
        <v>-1.0985393082228256</v>
      </c>
      <c r="Q160" s="60">
        <f t="shared" si="32"/>
        <v>-4.2224502564286324</v>
      </c>
      <c r="R160" s="60">
        <f t="shared" si="33"/>
        <v>-189.50611785781169</v>
      </c>
      <c r="S160" s="60"/>
      <c r="T160" s="108">
        <f t="shared" si="38"/>
        <v>150537.76097315384</v>
      </c>
      <c r="U160" s="109">
        <v>0</v>
      </c>
      <c r="V160" s="110">
        <f t="shared" si="27"/>
        <v>0</v>
      </c>
      <c r="W160" s="60">
        <f t="shared" si="28"/>
        <v>150537.76097315384</v>
      </c>
      <c r="X160" s="62"/>
      <c r="Y160" s="60">
        <f t="shared" si="34"/>
        <v>37634.44024328846</v>
      </c>
      <c r="Z160" s="60">
        <f t="shared" si="35"/>
        <v>37634.44024328846</v>
      </c>
      <c r="AA160" s="60">
        <f t="shared" si="36"/>
        <v>37634.44024328846</v>
      </c>
      <c r="AB160" s="60">
        <f t="shared" si="37"/>
        <v>37634.44024328846</v>
      </c>
    </row>
    <row r="161" spans="2:28" x14ac:dyDescent="0.35">
      <c r="B161">
        <v>712</v>
      </c>
      <c r="C161" s="17">
        <v>7</v>
      </c>
      <c r="D161" s="22" t="s">
        <v>178</v>
      </c>
      <c r="E161" s="90">
        <v>678.64</v>
      </c>
      <c r="F161" s="5">
        <v>440910.26</v>
      </c>
      <c r="G161" s="5">
        <v>0</v>
      </c>
      <c r="H161" s="5">
        <v>440910.26</v>
      </c>
      <c r="I161" s="58">
        <f t="shared" si="26"/>
        <v>649.69683484616291</v>
      </c>
      <c r="J161">
        <v>181</v>
      </c>
      <c r="K161" s="128">
        <f t="shared" si="29"/>
        <v>45108</v>
      </c>
      <c r="L161" s="96">
        <f t="shared" si="30"/>
        <v>218643.17002739725</v>
      </c>
      <c r="M161" s="96">
        <f t="shared" si="31"/>
        <v>121964.43319684343</v>
      </c>
      <c r="N161" s="60"/>
      <c r="O161" s="60">
        <f>IFERROR(INDEX('Revised 2020 MFAM(2020 PYAs)'!U$20:U$269,MATCH(B161,'Revised 2020 MFAM(2020 PYAs)'!B$20:B$269,0)),0)</f>
        <v>-313.67010822438169</v>
      </c>
      <c r="P161" s="60">
        <f>IFERROR(INDEX('Revised 2020 MFAM(2019 PYAs)'!AF$26:AF$274,MATCH(B161,'Revised 2020 MFAM(2019 PYAs)'!B$26:B$274,0)),0)</f>
        <v>-1.4133780765114352</v>
      </c>
      <c r="Q161" s="60">
        <f t="shared" si="32"/>
        <v>-3.4166926938058628</v>
      </c>
      <c r="R161" s="60">
        <f t="shared" si="33"/>
        <v>-318.50017899469901</v>
      </c>
      <c r="S161" s="60"/>
      <c r="T161" s="108">
        <f t="shared" si="38"/>
        <v>121645.93301784873</v>
      </c>
      <c r="U161" s="109">
        <v>0</v>
      </c>
      <c r="V161" s="110">
        <f t="shared" si="27"/>
        <v>0</v>
      </c>
      <c r="W161" s="60">
        <f t="shared" si="28"/>
        <v>121645.93301784873</v>
      </c>
      <c r="X161" s="62"/>
      <c r="Y161" s="60">
        <f t="shared" si="34"/>
        <v>60822.966508924364</v>
      </c>
      <c r="Z161" s="60">
        <f t="shared" si="35"/>
        <v>60822.966508924364</v>
      </c>
      <c r="AA161" s="60">
        <f t="shared" si="36"/>
        <v>0</v>
      </c>
      <c r="AB161" s="60">
        <f t="shared" si="37"/>
        <v>0</v>
      </c>
    </row>
    <row r="162" spans="2:28" x14ac:dyDescent="0.35">
      <c r="B162">
        <v>718</v>
      </c>
      <c r="C162" s="17">
        <v>7</v>
      </c>
      <c r="D162" s="22" t="s">
        <v>179</v>
      </c>
      <c r="E162" s="90">
        <v>44.351042089793225</v>
      </c>
      <c r="F162" s="5">
        <v>32435.759999999998</v>
      </c>
      <c r="G162" s="5">
        <v>0</v>
      </c>
      <c r="H162" s="5">
        <v>32435.759999999998</v>
      </c>
      <c r="I162" s="58">
        <f t="shared" si="26"/>
        <v>731.34155301989256</v>
      </c>
      <c r="J162">
        <v>365</v>
      </c>
      <c r="K162" s="128" t="str">
        <f t="shared" si="29"/>
        <v>-</v>
      </c>
      <c r="L162" s="96">
        <f t="shared" si="30"/>
        <v>32435.759999999995</v>
      </c>
      <c r="M162" s="96">
        <f t="shared" si="31"/>
        <v>18093.449172060278</v>
      </c>
      <c r="N162" s="60"/>
      <c r="O162" s="60">
        <f>IFERROR(INDEX('Revised 2020 MFAM(2020 PYAs)'!U$20:U$269,MATCH(B162,'Revised 2020 MFAM(2020 PYAs)'!B$20:B$269,0)),0)</f>
        <v>-20.282220903898633</v>
      </c>
      <c r="P162" s="60">
        <f>IFERROR(INDEX('Revised 2020 MFAM(2019 PYAs)'!AF$26:AF$274,MATCH(B162,'Revised 2020 MFAM(2019 PYAs)'!B$26:B$274,0)),0)</f>
        <v>-0.10096524176151433</v>
      </c>
      <c r="Q162" s="60">
        <f t="shared" si="32"/>
        <v>-0.50686707568388101</v>
      </c>
      <c r="R162" s="60">
        <f t="shared" si="33"/>
        <v>-20.890053221344029</v>
      </c>
      <c r="S162" s="60"/>
      <c r="T162" s="108">
        <f t="shared" si="38"/>
        <v>18072.559118838934</v>
      </c>
      <c r="U162" s="109">
        <v>0</v>
      </c>
      <c r="V162" s="110">
        <f t="shared" si="27"/>
        <v>0</v>
      </c>
      <c r="W162" s="60">
        <f t="shared" si="28"/>
        <v>18072.559118838934</v>
      </c>
      <c r="X162" s="62"/>
      <c r="Y162" s="60">
        <f t="shared" si="34"/>
        <v>4518.1397797097334</v>
      </c>
      <c r="Z162" s="60">
        <f t="shared" si="35"/>
        <v>4518.1397797097334</v>
      </c>
      <c r="AA162" s="60">
        <f t="shared" si="36"/>
        <v>4518.1397797097334</v>
      </c>
      <c r="AB162" s="60">
        <f t="shared" si="37"/>
        <v>4518.1397797097334</v>
      </c>
    </row>
    <row r="163" spans="2:28" x14ac:dyDescent="0.35">
      <c r="B163">
        <v>736</v>
      </c>
      <c r="C163" s="17">
        <v>7</v>
      </c>
      <c r="D163" s="22" t="s">
        <v>180</v>
      </c>
      <c r="E163" s="90">
        <v>128.53568086978083</v>
      </c>
      <c r="F163" s="5">
        <v>169238.52</v>
      </c>
      <c r="G163" s="5">
        <v>0</v>
      </c>
      <c r="H163" s="5">
        <v>169238.52</v>
      </c>
      <c r="I163" s="58">
        <f t="shared" si="26"/>
        <v>1316.6656826710639</v>
      </c>
      <c r="J163">
        <v>365</v>
      </c>
      <c r="K163" s="128" t="str">
        <f t="shared" si="29"/>
        <v>-</v>
      </c>
      <c r="L163" s="96">
        <f t="shared" si="30"/>
        <v>169238.52</v>
      </c>
      <c r="M163" s="96">
        <f t="shared" si="31"/>
        <v>94405.327933574154</v>
      </c>
      <c r="N163" s="60"/>
      <c r="O163" s="60">
        <f>IFERROR(INDEX('Revised 2020 MFAM(2020 PYAs)'!U$20:U$269,MATCH(B163,'Revised 2020 MFAM(2020 PYAs)'!B$20:B$269,0)),0)</f>
        <v>-139.61343541445967</v>
      </c>
      <c r="P163" s="60">
        <f>IFERROR(INDEX('Revised 2020 MFAM(2019 PYAs)'!AF$26:AF$274,MATCH(B163,'Revised 2020 MFAM(2019 PYAs)'!B$26:B$274,0)),0)</f>
        <v>1.862416590374778</v>
      </c>
      <c r="Q163" s="60">
        <f t="shared" si="32"/>
        <v>-2.6446561981426679</v>
      </c>
      <c r="R163" s="60">
        <f t="shared" si="33"/>
        <v>-140.39567502222755</v>
      </c>
      <c r="S163" s="60"/>
      <c r="T163" s="108">
        <f t="shared" si="38"/>
        <v>94264.932258551926</v>
      </c>
      <c r="U163" s="109">
        <v>0</v>
      </c>
      <c r="V163" s="110">
        <f t="shared" si="27"/>
        <v>0</v>
      </c>
      <c r="W163" s="60">
        <f t="shared" si="28"/>
        <v>94264.932258551926</v>
      </c>
      <c r="X163" s="62"/>
      <c r="Y163" s="60">
        <f t="shared" si="34"/>
        <v>23566.233064637981</v>
      </c>
      <c r="Z163" s="60">
        <f t="shared" si="35"/>
        <v>23566.233064637981</v>
      </c>
      <c r="AA163" s="60">
        <f t="shared" si="36"/>
        <v>23566.233064637981</v>
      </c>
      <c r="AB163" s="60">
        <f t="shared" si="37"/>
        <v>23566.233064637981</v>
      </c>
    </row>
    <row r="164" spans="2:28" x14ac:dyDescent="0.35">
      <c r="B164">
        <v>757</v>
      </c>
      <c r="C164" s="17">
        <v>7</v>
      </c>
      <c r="D164" s="22" t="s">
        <v>181</v>
      </c>
      <c r="E164" s="90">
        <v>472.39429221566382</v>
      </c>
      <c r="F164" s="5">
        <v>291238.52</v>
      </c>
      <c r="G164" s="5">
        <v>807</v>
      </c>
      <c r="H164" s="5">
        <v>290431.52</v>
      </c>
      <c r="I164" s="58">
        <f t="shared" si="26"/>
        <v>614.80742842550751</v>
      </c>
      <c r="J164">
        <v>181</v>
      </c>
      <c r="K164" s="128">
        <f t="shared" si="29"/>
        <v>45108</v>
      </c>
      <c r="L164" s="96">
        <f t="shared" si="30"/>
        <v>144022.20580821918</v>
      </c>
      <c r="M164" s="96">
        <f t="shared" si="31"/>
        <v>80339.059742673475</v>
      </c>
      <c r="N164" s="60"/>
      <c r="O164" s="60">
        <f>IFERROR(INDEX('Revised 2020 MFAM(2020 PYAs)'!U$20:U$269,MATCH(B164,'Revised 2020 MFAM(2020 PYAs)'!B$20:B$269,0)),0)</f>
        <v>-233.24901708489051</v>
      </c>
      <c r="P164" s="60">
        <f>IFERROR(INDEX('Revised 2020 MFAM(2019 PYAs)'!AF$26:AF$274,MATCH(B164,'Revised 2020 MFAM(2019 PYAs)'!B$26:B$274,0)),0)</f>
        <v>-1.2367252870608354</v>
      </c>
      <c r="Q164" s="60">
        <f t="shared" si="32"/>
        <v>-2.2506059451529463</v>
      </c>
      <c r="R164" s="60">
        <f t="shared" si="33"/>
        <v>-236.7363483171043</v>
      </c>
      <c r="S164" s="60"/>
      <c r="T164" s="108">
        <f t="shared" si="38"/>
        <v>80102.323394356368</v>
      </c>
      <c r="U164" s="109">
        <v>0</v>
      </c>
      <c r="V164" s="110">
        <f t="shared" si="27"/>
        <v>0</v>
      </c>
      <c r="W164" s="60">
        <f t="shared" si="28"/>
        <v>80102.323394356368</v>
      </c>
      <c r="X164" s="62"/>
      <c r="Y164" s="60">
        <f t="shared" si="34"/>
        <v>40051.161697178184</v>
      </c>
      <c r="Z164" s="60">
        <f t="shared" si="35"/>
        <v>40051.161697178184</v>
      </c>
      <c r="AA164" s="60">
        <f t="shared" si="36"/>
        <v>0</v>
      </c>
      <c r="AB164" s="60">
        <f t="shared" si="37"/>
        <v>0</v>
      </c>
    </row>
    <row r="165" spans="2:28" x14ac:dyDescent="0.35">
      <c r="B165">
        <v>786</v>
      </c>
      <c r="C165" s="17">
        <v>7</v>
      </c>
      <c r="D165" s="22" t="s">
        <v>182</v>
      </c>
      <c r="E165" s="90">
        <v>3150.8699999999994</v>
      </c>
      <c r="F165" s="5">
        <v>1688723.49</v>
      </c>
      <c r="G165" s="5">
        <v>443106.06</v>
      </c>
      <c r="H165" s="5">
        <v>1245617.43</v>
      </c>
      <c r="I165" s="58">
        <f t="shared" si="26"/>
        <v>395.32491978405972</v>
      </c>
      <c r="J165">
        <v>365</v>
      </c>
      <c r="K165" s="128" t="str">
        <f t="shared" si="29"/>
        <v>-</v>
      </c>
      <c r="L165" s="96">
        <f t="shared" si="30"/>
        <v>1245617.43</v>
      </c>
      <c r="M165" s="96">
        <f t="shared" si="31"/>
        <v>694835.44265765173</v>
      </c>
      <c r="N165" s="60"/>
      <c r="O165" s="60">
        <f>IFERROR(INDEX('Revised 2020 MFAM(2020 PYAs)'!U$20:U$269,MATCH(B165,'Revised 2020 MFAM(2020 PYAs)'!B$20:B$269,0)),0)</f>
        <v>-1216.0968267092248</v>
      </c>
      <c r="P165" s="60">
        <f>IFERROR(INDEX('Revised 2020 MFAM(2019 PYAs)'!AF$26:AF$274,MATCH(B165,'Revised 2020 MFAM(2019 PYAs)'!B$26:B$274,0)),0)</f>
        <v>-7.1842036927118897</v>
      </c>
      <c r="Q165" s="60">
        <f t="shared" si="32"/>
        <v>-19.465012201501413</v>
      </c>
      <c r="R165" s="60">
        <f t="shared" si="33"/>
        <v>-1242.7460426034381</v>
      </c>
      <c r="S165" s="60"/>
      <c r="T165" s="108">
        <f t="shared" si="38"/>
        <v>693592.69661504833</v>
      </c>
      <c r="U165" s="109">
        <v>0</v>
      </c>
      <c r="V165" s="110">
        <f t="shared" si="27"/>
        <v>0</v>
      </c>
      <c r="W165" s="60">
        <f t="shared" si="28"/>
        <v>693592.69661504833</v>
      </c>
      <c r="X165" s="62"/>
      <c r="Y165" s="60">
        <f t="shared" si="34"/>
        <v>173398.17415376208</v>
      </c>
      <c r="Z165" s="60">
        <f t="shared" si="35"/>
        <v>173398.17415376208</v>
      </c>
      <c r="AA165" s="60">
        <f t="shared" si="36"/>
        <v>173398.17415376208</v>
      </c>
      <c r="AB165" s="60">
        <f t="shared" si="37"/>
        <v>173398.17415376208</v>
      </c>
    </row>
    <row r="166" spans="2:28" x14ac:dyDescent="0.35">
      <c r="B166">
        <v>854</v>
      </c>
      <c r="C166" s="17">
        <v>7</v>
      </c>
      <c r="D166" s="22" t="s">
        <v>183</v>
      </c>
      <c r="E166" s="90">
        <v>797.14233540437692</v>
      </c>
      <c r="F166" s="5">
        <v>692311.91</v>
      </c>
      <c r="G166" s="5">
        <v>771.72</v>
      </c>
      <c r="H166" s="5">
        <v>691540.19000000006</v>
      </c>
      <c r="I166" s="58">
        <f t="shared" si="26"/>
        <v>867.52410364604873</v>
      </c>
      <c r="J166">
        <v>181</v>
      </c>
      <c r="K166" s="128">
        <f t="shared" si="29"/>
        <v>45108</v>
      </c>
      <c r="L166" s="96">
        <f t="shared" si="30"/>
        <v>342928.14901369868</v>
      </c>
      <c r="M166" s="96">
        <f t="shared" si="31"/>
        <v>191293.59182112801</v>
      </c>
      <c r="N166" s="60"/>
      <c r="O166" s="60">
        <f>IFERROR(INDEX('Revised 2020 MFAM(2020 PYAs)'!U$20:U$269,MATCH(B166,'Revised 2020 MFAM(2020 PYAs)'!B$20:B$269,0)),0)</f>
        <v>-604.09860575181665</v>
      </c>
      <c r="P166" s="60">
        <f>IFERROR(INDEX('Revised 2020 MFAM(2019 PYAs)'!AF$26:AF$274,MATCH(B166,'Revised 2020 MFAM(2019 PYAs)'!B$26:B$274,0)),0)</f>
        <v>-2.4210356060648337</v>
      </c>
      <c r="Q166" s="60">
        <f t="shared" si="32"/>
        <v>-5.3588689785674726</v>
      </c>
      <c r="R166" s="60">
        <f t="shared" si="33"/>
        <v>-611.87851033644893</v>
      </c>
      <c r="S166" s="60"/>
      <c r="T166" s="108">
        <f t="shared" si="38"/>
        <v>190681.71331079156</v>
      </c>
      <c r="U166" s="109">
        <v>0</v>
      </c>
      <c r="V166" s="110">
        <f t="shared" si="27"/>
        <v>0</v>
      </c>
      <c r="W166" s="60">
        <f t="shared" si="28"/>
        <v>190681.71331079156</v>
      </c>
      <c r="X166" s="62"/>
      <c r="Y166" s="60">
        <f t="shared" si="34"/>
        <v>95340.856655395779</v>
      </c>
      <c r="Z166" s="60">
        <f t="shared" si="35"/>
        <v>95340.856655395779</v>
      </c>
      <c r="AA166" s="60">
        <f t="shared" si="36"/>
        <v>0</v>
      </c>
      <c r="AB166" s="60">
        <f t="shared" si="37"/>
        <v>0</v>
      </c>
    </row>
    <row r="167" spans="2:28" x14ac:dyDescent="0.35">
      <c r="B167">
        <v>855</v>
      </c>
      <c r="C167" s="17">
        <v>7</v>
      </c>
      <c r="D167" s="22" t="s">
        <v>184</v>
      </c>
      <c r="E167" s="90">
        <v>192.57100061772678</v>
      </c>
      <c r="F167" s="5">
        <v>169064.43</v>
      </c>
      <c r="G167" s="5">
        <v>691</v>
      </c>
      <c r="H167" s="5">
        <v>168373.43</v>
      </c>
      <c r="I167" s="58">
        <f t="shared" si="26"/>
        <v>874.34468045496919</v>
      </c>
      <c r="J167">
        <v>181</v>
      </c>
      <c r="K167" s="128">
        <f t="shared" si="29"/>
        <v>45108</v>
      </c>
      <c r="L167" s="96">
        <f t="shared" si="30"/>
        <v>83494.769397260272</v>
      </c>
      <c r="M167" s="96">
        <f t="shared" si="31"/>
        <v>46575.39598955668</v>
      </c>
      <c r="N167" s="60"/>
      <c r="O167" s="60">
        <f>IFERROR(INDEX('Revised 2020 MFAM(2020 PYAs)'!U$20:U$269,MATCH(B167,'Revised 2020 MFAM(2020 PYAs)'!B$20:B$269,0)),0)</f>
        <v>-131.21778776631982</v>
      </c>
      <c r="P167" s="60">
        <f>IFERROR(INDEX('Revised 2020 MFAM(2019 PYAs)'!AF$26:AF$274,MATCH(B167,'Revised 2020 MFAM(2019 PYAs)'!B$26:B$274,0)),0)</f>
        <v>2.4686965246219188</v>
      </c>
      <c r="Q167" s="60">
        <f t="shared" si="32"/>
        <v>-1.3047559113549159</v>
      </c>
      <c r="R167" s="60">
        <f t="shared" si="33"/>
        <v>-130.0538471530528</v>
      </c>
      <c r="S167" s="60"/>
      <c r="T167" s="108">
        <f t="shared" si="38"/>
        <v>46445.342142403628</v>
      </c>
      <c r="U167" s="109">
        <v>0</v>
      </c>
      <c r="V167" s="110">
        <f t="shared" si="27"/>
        <v>0</v>
      </c>
      <c r="W167" s="60">
        <f t="shared" si="28"/>
        <v>46445.342142403628</v>
      </c>
      <c r="X167" s="62"/>
      <c r="Y167" s="60">
        <f t="shared" si="34"/>
        <v>23222.671071201814</v>
      </c>
      <c r="Z167" s="60">
        <f t="shared" si="35"/>
        <v>23222.671071201814</v>
      </c>
      <c r="AA167" s="60">
        <f t="shared" si="36"/>
        <v>0</v>
      </c>
      <c r="AB167" s="60">
        <f t="shared" si="37"/>
        <v>0</v>
      </c>
    </row>
    <row r="168" spans="2:28" x14ac:dyDescent="0.35">
      <c r="B168">
        <v>862</v>
      </c>
      <c r="C168" s="17">
        <v>7</v>
      </c>
      <c r="D168" s="22" t="s">
        <v>185</v>
      </c>
      <c r="E168" s="90">
        <v>11.634808712767381</v>
      </c>
      <c r="F168" s="5">
        <v>12850.73</v>
      </c>
      <c r="G168" s="5">
        <v>11900</v>
      </c>
      <c r="H168" s="5">
        <v>950.72999999999956</v>
      </c>
      <c r="I168" s="58">
        <f t="shared" si="26"/>
        <v>81.714278547332043</v>
      </c>
      <c r="J168">
        <v>273</v>
      </c>
      <c r="K168" s="128">
        <f t="shared" si="29"/>
        <v>45200</v>
      </c>
      <c r="L168" s="96">
        <f t="shared" si="30"/>
        <v>711.09394520547914</v>
      </c>
      <c r="M168" s="96">
        <f t="shared" si="31"/>
        <v>396.66535188739698</v>
      </c>
      <c r="N168" s="60"/>
      <c r="O168" s="60">
        <f>IFERROR(INDEX('Revised 2020 MFAM(2020 PYAs)'!U$20:U$269,MATCH(B168,'Revised 2020 MFAM(2020 PYAs)'!B$20:B$269,0)),0)</f>
        <v>-0.68928874009276342</v>
      </c>
      <c r="P168" s="60">
        <f>IFERROR(INDEX('Revised 2020 MFAM(2019 PYAs)'!AF$26:AF$274,MATCH(B168,'Revised 2020 MFAM(2019 PYAs)'!B$26:B$274,0)),0)</f>
        <v>-1.37014682136396E-2</v>
      </c>
      <c r="Q168" s="60">
        <f t="shared" si="32"/>
        <v>-1.1112121576396398E-2</v>
      </c>
      <c r="R168" s="60">
        <f t="shared" si="33"/>
        <v>-0.71410232988279942</v>
      </c>
      <c r="S168" s="60"/>
      <c r="T168" s="108">
        <f t="shared" si="38"/>
        <v>395.95124955751419</v>
      </c>
      <c r="U168" s="109">
        <v>1</v>
      </c>
      <c r="V168" s="110">
        <f t="shared" si="27"/>
        <v>-39.595124955751423</v>
      </c>
      <c r="W168" s="60">
        <f t="shared" si="28"/>
        <v>356.35612460176276</v>
      </c>
      <c r="X168" s="62"/>
      <c r="Y168" s="60">
        <f t="shared" si="34"/>
        <v>118.78537486725425</v>
      </c>
      <c r="Z168" s="60">
        <f t="shared" si="35"/>
        <v>118.78537486725425</v>
      </c>
      <c r="AA168" s="60">
        <f t="shared" si="36"/>
        <v>118.78537486725425</v>
      </c>
      <c r="AB168" s="60">
        <f t="shared" si="37"/>
        <v>0</v>
      </c>
    </row>
    <row r="169" spans="2:28" x14ac:dyDescent="0.35">
      <c r="B169">
        <v>958</v>
      </c>
      <c r="C169" s="17">
        <v>7</v>
      </c>
      <c r="D169" s="22" t="s">
        <v>186</v>
      </c>
      <c r="E169" s="90">
        <v>388.07263932750806</v>
      </c>
      <c r="F169" s="5">
        <v>208154.84</v>
      </c>
      <c r="G169" s="5">
        <v>172.88</v>
      </c>
      <c r="H169" s="5">
        <v>207981.96</v>
      </c>
      <c r="I169" s="58">
        <f t="shared" si="26"/>
        <v>535.93564431754942</v>
      </c>
      <c r="J169">
        <v>365</v>
      </c>
      <c r="K169" s="128" t="str">
        <f t="shared" si="29"/>
        <v>-</v>
      </c>
      <c r="L169" s="96">
        <f t="shared" si="30"/>
        <v>207981.95999999996</v>
      </c>
      <c r="M169" s="96">
        <f t="shared" si="31"/>
        <v>116017.35313017096</v>
      </c>
      <c r="N169" s="60"/>
      <c r="O169" s="60">
        <f>IFERROR(INDEX('Revised 2020 MFAM(2020 PYAs)'!U$20:U$269,MATCH(B169,'Revised 2020 MFAM(2020 PYAs)'!B$20:B$269,0)),0)</f>
        <v>-167.84905748126039</v>
      </c>
      <c r="P169" s="60">
        <f>IFERROR(INDEX('Revised 2020 MFAM(2019 PYAs)'!AF$26:AF$274,MATCH(B169,'Revised 2020 MFAM(2019 PYAs)'!B$26:B$274,0)),0)</f>
        <v>-0.47603138073463924</v>
      </c>
      <c r="Q169" s="60">
        <f t="shared" si="32"/>
        <v>-3.2500921162384331</v>
      </c>
      <c r="R169" s="60">
        <f t="shared" si="33"/>
        <v>-171.57518097823345</v>
      </c>
      <c r="S169" s="60"/>
      <c r="T169" s="108">
        <f t="shared" si="38"/>
        <v>115845.77794919272</v>
      </c>
      <c r="U169" s="109">
        <v>0</v>
      </c>
      <c r="V169" s="110">
        <f t="shared" si="27"/>
        <v>0</v>
      </c>
      <c r="W169" s="60">
        <f t="shared" si="28"/>
        <v>115845.77794919272</v>
      </c>
      <c r="X169" s="62"/>
      <c r="Y169" s="60">
        <f t="shared" si="34"/>
        <v>28961.44448729818</v>
      </c>
      <c r="Z169" s="60">
        <f t="shared" si="35"/>
        <v>28961.44448729818</v>
      </c>
      <c r="AA169" s="60">
        <f t="shared" si="36"/>
        <v>28961.44448729818</v>
      </c>
      <c r="AB169" s="60">
        <f t="shared" si="37"/>
        <v>28961.44448729818</v>
      </c>
    </row>
    <row r="170" spans="2:28" x14ac:dyDescent="0.35">
      <c r="B170">
        <v>967</v>
      </c>
      <c r="C170" s="17">
        <v>7</v>
      </c>
      <c r="D170" s="22" t="s">
        <v>187</v>
      </c>
      <c r="E170" s="90">
        <v>67.422224848344314</v>
      </c>
      <c r="F170" s="5">
        <v>97769.37</v>
      </c>
      <c r="G170" s="5">
        <v>0</v>
      </c>
      <c r="H170" s="5">
        <v>97769.37</v>
      </c>
      <c r="I170" s="58">
        <f t="shared" si="26"/>
        <v>1450.1059586793051</v>
      </c>
      <c r="J170">
        <v>365</v>
      </c>
      <c r="K170" s="128" t="str">
        <f t="shared" si="29"/>
        <v>-</v>
      </c>
      <c r="L170" s="96">
        <f t="shared" si="30"/>
        <v>97769.37</v>
      </c>
      <c r="M170" s="96">
        <f t="shared" si="31"/>
        <v>54538.112462274825</v>
      </c>
      <c r="N170" s="60"/>
      <c r="O170" s="60">
        <f>IFERROR(INDEX('Revised 2020 MFAM(2020 PYAs)'!U$20:U$269,MATCH(B170,'Revised 2020 MFAM(2020 PYAs)'!B$20:B$269,0)),0)</f>
        <v>-82.178112518267881</v>
      </c>
      <c r="P170" s="60">
        <f>IFERROR(INDEX('Revised 2020 MFAM(2019 PYAs)'!AF$26:AF$274,MATCH(B170,'Revised 2020 MFAM(2019 PYAs)'!B$26:B$274,0)),0)</f>
        <v>-0.38946127724193502</v>
      </c>
      <c r="Q170" s="60">
        <f t="shared" si="32"/>
        <v>-1.527822214227611</v>
      </c>
      <c r="R170" s="60">
        <f t="shared" si="33"/>
        <v>-84.095396009737428</v>
      </c>
      <c r="S170" s="60"/>
      <c r="T170" s="108">
        <f t="shared" si="38"/>
        <v>54454.017066265085</v>
      </c>
      <c r="U170" s="109">
        <v>0</v>
      </c>
      <c r="V170" s="110">
        <f t="shared" si="27"/>
        <v>0</v>
      </c>
      <c r="W170" s="60">
        <f t="shared" si="28"/>
        <v>54454.017066265085</v>
      </c>
      <c r="X170" s="62"/>
      <c r="Y170" s="60">
        <f t="shared" si="34"/>
        <v>13613.504266566271</v>
      </c>
      <c r="Z170" s="60">
        <f t="shared" si="35"/>
        <v>13613.504266566271</v>
      </c>
      <c r="AA170" s="60">
        <f t="shared" si="36"/>
        <v>13613.504266566271</v>
      </c>
      <c r="AB170" s="60">
        <f t="shared" si="37"/>
        <v>13613.504266566271</v>
      </c>
    </row>
    <row r="171" spans="2:28" x14ac:dyDescent="0.35">
      <c r="B171">
        <v>971</v>
      </c>
      <c r="C171" s="17">
        <v>7</v>
      </c>
      <c r="D171" s="22" t="s">
        <v>188</v>
      </c>
      <c r="E171" s="90">
        <v>862.20999999999992</v>
      </c>
      <c r="F171" s="5">
        <v>624409.48</v>
      </c>
      <c r="G171" s="5">
        <v>213937.14</v>
      </c>
      <c r="H171" s="5">
        <v>410472.33999999997</v>
      </c>
      <c r="I171" s="58">
        <f t="shared" si="26"/>
        <v>476.07002934319945</v>
      </c>
      <c r="J171">
        <v>365</v>
      </c>
      <c r="K171" s="128" t="str">
        <f t="shared" si="29"/>
        <v>-</v>
      </c>
      <c r="L171" s="96">
        <f t="shared" si="30"/>
        <v>410472.33999999997</v>
      </c>
      <c r="M171" s="96">
        <f t="shared" si="31"/>
        <v>228971.37049745853</v>
      </c>
      <c r="N171" s="60"/>
      <c r="O171" s="60">
        <f>IFERROR(INDEX('Revised 2020 MFAM(2020 PYAs)'!U$20:U$269,MATCH(B171,'Revised 2020 MFAM(2020 PYAs)'!B$20:B$269,0)),0)</f>
        <v>-454.63691554567777</v>
      </c>
      <c r="P171" s="60">
        <f>IFERROR(INDEX('Revised 2020 MFAM(2019 PYAs)'!AF$26:AF$274,MATCH(B171,'Revised 2020 MFAM(2019 PYAs)'!B$26:B$274,0)),0)</f>
        <v>-2.1652146360720508</v>
      </c>
      <c r="Q171" s="60">
        <f t="shared" si="32"/>
        <v>-6.4143684200684605</v>
      </c>
      <c r="R171" s="60">
        <f t="shared" si="33"/>
        <v>-463.21649860181827</v>
      </c>
      <c r="S171" s="60"/>
      <c r="T171" s="108">
        <f t="shared" si="38"/>
        <v>228508.15399885669</v>
      </c>
      <c r="U171" s="109">
        <v>0</v>
      </c>
      <c r="V171" s="110">
        <f t="shared" si="27"/>
        <v>0</v>
      </c>
      <c r="W171" s="60">
        <f t="shared" si="28"/>
        <v>228508.15399885669</v>
      </c>
      <c r="X171" s="62"/>
      <c r="Y171" s="60">
        <f t="shared" si="34"/>
        <v>57127.038499714174</v>
      </c>
      <c r="Z171" s="60">
        <f t="shared" si="35"/>
        <v>57127.038499714174</v>
      </c>
      <c r="AA171" s="60">
        <f t="shared" si="36"/>
        <v>57127.038499714174</v>
      </c>
      <c r="AB171" s="60">
        <f t="shared" si="37"/>
        <v>57127.038499714174</v>
      </c>
    </row>
    <row r="172" spans="2:28" x14ac:dyDescent="0.35">
      <c r="B172">
        <v>975</v>
      </c>
      <c r="C172" s="17">
        <v>7</v>
      </c>
      <c r="D172" s="22" t="s">
        <v>189</v>
      </c>
      <c r="E172" s="90">
        <v>29.613483714622859</v>
      </c>
      <c r="F172" s="5">
        <v>94343.1</v>
      </c>
      <c r="G172" s="5">
        <v>0</v>
      </c>
      <c r="H172" s="5">
        <v>94343.1</v>
      </c>
      <c r="I172" s="58">
        <f t="shared" si="26"/>
        <v>3185.8156544214444</v>
      </c>
      <c r="J172">
        <v>365</v>
      </c>
      <c r="K172" s="128" t="str">
        <f t="shared" si="29"/>
        <v>-</v>
      </c>
      <c r="L172" s="96">
        <f t="shared" si="30"/>
        <v>94343.1</v>
      </c>
      <c r="M172" s="96">
        <f t="shared" si="31"/>
        <v>52626.856425889215</v>
      </c>
      <c r="N172" s="60"/>
      <c r="O172" s="60">
        <f>IFERROR(INDEX('Revised 2020 MFAM(2020 PYAs)'!U$20:U$269,MATCH(B172,'Revised 2020 MFAM(2020 PYAs)'!B$20:B$269,0)),0)</f>
        <v>-68.264982366948971</v>
      </c>
      <c r="P172" s="60">
        <f>IFERROR(INDEX('Revised 2020 MFAM(2019 PYAs)'!AF$26:AF$274,MATCH(B172,'Revised 2020 MFAM(2019 PYAs)'!B$26:B$274,0)),0)</f>
        <v>0.46809349800423661</v>
      </c>
      <c r="Q172" s="60">
        <f t="shared" si="32"/>
        <v>-1.4742805843905604</v>
      </c>
      <c r="R172" s="60">
        <f t="shared" si="33"/>
        <v>-69.27116945333529</v>
      </c>
      <c r="S172" s="60"/>
      <c r="T172" s="108">
        <f t="shared" si="38"/>
        <v>52557.585256435879</v>
      </c>
      <c r="U172" s="109">
        <v>0</v>
      </c>
      <c r="V172" s="110">
        <f t="shared" si="27"/>
        <v>0</v>
      </c>
      <c r="W172" s="60">
        <f t="shared" si="28"/>
        <v>52557.585256435879</v>
      </c>
      <c r="X172" s="62"/>
      <c r="Y172" s="60">
        <f t="shared" si="34"/>
        <v>13139.39631410897</v>
      </c>
      <c r="Z172" s="60">
        <f t="shared" si="35"/>
        <v>13139.39631410897</v>
      </c>
      <c r="AA172" s="60">
        <f t="shared" si="36"/>
        <v>13139.39631410897</v>
      </c>
      <c r="AB172" s="60">
        <f t="shared" si="37"/>
        <v>13139.39631410897</v>
      </c>
    </row>
    <row r="173" spans="2:28" x14ac:dyDescent="0.35">
      <c r="B173">
        <v>977</v>
      </c>
      <c r="C173" s="17">
        <v>7</v>
      </c>
      <c r="D173" s="22" t="s">
        <v>190</v>
      </c>
      <c r="E173" s="90">
        <v>49.671683350660736</v>
      </c>
      <c r="F173" s="5">
        <v>70714.649999999994</v>
      </c>
      <c r="G173" s="5">
        <v>0</v>
      </c>
      <c r="H173" s="5">
        <v>70714.649999999994</v>
      </c>
      <c r="I173" s="58">
        <f t="shared" si="26"/>
        <v>1423.6411015262954</v>
      </c>
      <c r="J173">
        <v>365</v>
      </c>
      <c r="K173" s="128" t="str">
        <f t="shared" si="29"/>
        <v>-</v>
      </c>
      <c r="L173" s="96">
        <f t="shared" si="30"/>
        <v>70714.649999999994</v>
      </c>
      <c r="M173" s="96">
        <f t="shared" si="31"/>
        <v>39446.337175235989</v>
      </c>
      <c r="N173" s="60"/>
      <c r="O173" s="60">
        <f>IFERROR(INDEX('Revised 2020 MFAM(2020 PYAs)'!U$20:U$269,MATCH(B173,'Revised 2020 MFAM(2020 PYAs)'!B$20:B$269,0)),0)</f>
        <v>-58.828078367856506</v>
      </c>
      <c r="P173" s="60">
        <f>IFERROR(INDEX('Revised 2020 MFAM(2019 PYAs)'!AF$26:AF$274,MATCH(B173,'Revised 2020 MFAM(2019 PYAs)'!B$26:B$274,0)),0)</f>
        <v>0.73519696190305694</v>
      </c>
      <c r="Q173" s="60">
        <f t="shared" si="32"/>
        <v>-1.1050435646801298</v>
      </c>
      <c r="R173" s="60">
        <f t="shared" si="33"/>
        <v>-59.197924970633579</v>
      </c>
      <c r="S173" s="60"/>
      <c r="T173" s="108">
        <f t="shared" si="38"/>
        <v>39387.139250265354</v>
      </c>
      <c r="U173" s="109">
        <v>0</v>
      </c>
      <c r="V173" s="110">
        <f t="shared" si="27"/>
        <v>0</v>
      </c>
      <c r="W173" s="60">
        <f t="shared" si="28"/>
        <v>39387.139250265354</v>
      </c>
      <c r="X173" s="62"/>
      <c r="Y173" s="60">
        <f t="shared" si="34"/>
        <v>9846.7848125663386</v>
      </c>
      <c r="Z173" s="60">
        <f t="shared" si="35"/>
        <v>9846.7848125663386</v>
      </c>
      <c r="AA173" s="60">
        <f t="shared" si="36"/>
        <v>9846.7848125663386</v>
      </c>
      <c r="AB173" s="60">
        <f t="shared" si="37"/>
        <v>9846.7848125663386</v>
      </c>
    </row>
    <row r="174" spans="2:28" x14ac:dyDescent="0.35">
      <c r="B174">
        <v>981</v>
      </c>
      <c r="C174" s="17">
        <v>7</v>
      </c>
      <c r="D174" s="22" t="s">
        <v>191</v>
      </c>
      <c r="E174" s="90">
        <v>113.39990030452914</v>
      </c>
      <c r="F174" s="5">
        <v>311878.34000000003</v>
      </c>
      <c r="G174" s="5">
        <v>27077.84</v>
      </c>
      <c r="H174" s="5">
        <v>284800.5</v>
      </c>
      <c r="I174" s="58">
        <f t="shared" si="26"/>
        <v>2511.4704619244289</v>
      </c>
      <c r="J174">
        <v>365</v>
      </c>
      <c r="K174" s="128" t="str">
        <f t="shared" si="29"/>
        <v>-</v>
      </c>
      <c r="L174" s="96">
        <f t="shared" si="30"/>
        <v>284800.5</v>
      </c>
      <c r="M174" s="96">
        <f t="shared" si="31"/>
        <v>158868.58735319765</v>
      </c>
      <c r="N174" s="60"/>
      <c r="O174" s="60">
        <f>IFERROR(INDEX('Revised 2020 MFAM(2020 PYAs)'!U$20:U$269,MATCH(B174,'Revised 2020 MFAM(2020 PYAs)'!B$20:B$269,0)),0)</f>
        <v>-104.33334883445787</v>
      </c>
      <c r="P174" s="60">
        <f>IFERROR(INDEX('Revised 2020 MFAM(2019 PYAs)'!AF$26:AF$274,MATCH(B174,'Revised 2020 MFAM(2019 PYAs)'!B$26:B$274,0)),0)</f>
        <v>-0.3957536569723743</v>
      </c>
      <c r="Q174" s="60">
        <f t="shared" si="32"/>
        <v>-4.4505199381271527</v>
      </c>
      <c r="R174" s="60">
        <f t="shared" si="33"/>
        <v>-109.1796224295574</v>
      </c>
      <c r="S174" s="60"/>
      <c r="T174" s="108">
        <f t="shared" si="38"/>
        <v>158759.40773076809</v>
      </c>
      <c r="U174" s="109">
        <v>0</v>
      </c>
      <c r="V174" s="110">
        <f t="shared" si="27"/>
        <v>0</v>
      </c>
      <c r="W174" s="60">
        <f t="shared" si="28"/>
        <v>158759.40773076809</v>
      </c>
      <c r="X174" s="62"/>
      <c r="Y174" s="60">
        <f t="shared" si="34"/>
        <v>39689.851932692021</v>
      </c>
      <c r="Z174" s="60">
        <f t="shared" si="35"/>
        <v>39689.851932692021</v>
      </c>
      <c r="AA174" s="60">
        <f t="shared" si="36"/>
        <v>39689.851932692021</v>
      </c>
      <c r="AB174" s="60">
        <f t="shared" si="37"/>
        <v>39689.851932692021</v>
      </c>
    </row>
    <row r="175" spans="2:28" x14ac:dyDescent="0.35">
      <c r="B175">
        <v>983</v>
      </c>
      <c r="C175" s="17">
        <v>7</v>
      </c>
      <c r="D175" s="22" t="s">
        <v>192</v>
      </c>
      <c r="E175" s="90">
        <v>80.432040576823979</v>
      </c>
      <c r="F175" s="5">
        <v>50032.29</v>
      </c>
      <c r="G175" s="5">
        <v>0</v>
      </c>
      <c r="H175" s="5">
        <v>50032.29</v>
      </c>
      <c r="I175" s="58">
        <f t="shared" si="26"/>
        <v>622.04427043240412</v>
      </c>
      <c r="J175">
        <v>365</v>
      </c>
      <c r="K175" s="128" t="str">
        <f t="shared" si="29"/>
        <v>-</v>
      </c>
      <c r="L175" s="96">
        <f t="shared" si="30"/>
        <v>50032.29</v>
      </c>
      <c r="M175" s="96">
        <f t="shared" si="31"/>
        <v>27909.21797660298</v>
      </c>
      <c r="N175" s="60"/>
      <c r="O175" s="60">
        <f>IFERROR(INDEX('Revised 2020 MFAM(2020 PYAs)'!U$20:U$269,MATCH(B175,'Revised 2020 MFAM(2020 PYAs)'!B$20:B$269,0)),0)</f>
        <v>-40.043209526600549</v>
      </c>
      <c r="P175" s="60">
        <f>IFERROR(INDEX('Revised 2020 MFAM(2019 PYAs)'!AF$26:AF$274,MATCH(B175,'Revised 2020 MFAM(2019 PYAs)'!B$26:B$274,0)),0)</f>
        <v>-0.14529735800351773</v>
      </c>
      <c r="Q175" s="60">
        <f t="shared" si="32"/>
        <v>-0.78184449885151119</v>
      </c>
      <c r="R175" s="60">
        <f t="shared" si="33"/>
        <v>-40.970351383455579</v>
      </c>
      <c r="S175" s="60"/>
      <c r="T175" s="108">
        <f t="shared" si="38"/>
        <v>27868.247625219527</v>
      </c>
      <c r="U175" s="109">
        <v>0</v>
      </c>
      <c r="V175" s="110">
        <f t="shared" si="27"/>
        <v>0</v>
      </c>
      <c r="W175" s="60">
        <f t="shared" si="28"/>
        <v>27868.247625219527</v>
      </c>
      <c r="X175" s="62"/>
      <c r="Y175" s="60">
        <f t="shared" si="34"/>
        <v>6967.0619063048816</v>
      </c>
      <c r="Z175" s="60">
        <f t="shared" si="35"/>
        <v>6967.0619063048816</v>
      </c>
      <c r="AA175" s="60">
        <f t="shared" si="36"/>
        <v>6967.0619063048816</v>
      </c>
      <c r="AB175" s="60">
        <f t="shared" si="37"/>
        <v>6967.0619063048816</v>
      </c>
    </row>
    <row r="176" spans="2:28" x14ac:dyDescent="0.35">
      <c r="B176">
        <v>984</v>
      </c>
      <c r="C176" s="17">
        <v>7</v>
      </c>
      <c r="D176" s="22" t="s">
        <v>193</v>
      </c>
      <c r="E176" s="90">
        <v>42.564447259151251</v>
      </c>
      <c r="F176" s="5">
        <v>16251.96</v>
      </c>
      <c r="G176" s="5">
        <v>0</v>
      </c>
      <c r="H176" s="5">
        <v>16251.96</v>
      </c>
      <c r="I176" s="58">
        <f t="shared" si="26"/>
        <v>381.82006454943138</v>
      </c>
      <c r="J176">
        <v>365</v>
      </c>
      <c r="K176" s="128" t="str">
        <f t="shared" si="29"/>
        <v>-</v>
      </c>
      <c r="L176" s="96">
        <f t="shared" si="30"/>
        <v>16251.96</v>
      </c>
      <c r="M176" s="96">
        <f t="shared" si="31"/>
        <v>9065.7352319278725</v>
      </c>
      <c r="N176" s="60"/>
      <c r="O176" s="60">
        <f>IFERROR(INDEX('Revised 2020 MFAM(2020 PYAs)'!U$20:U$269,MATCH(B176,'Revised 2020 MFAM(2020 PYAs)'!B$20:B$269,0)),0)</f>
        <v>-13.506530013332849</v>
      </c>
      <c r="P176" s="60">
        <f>IFERROR(INDEX('Revised 2020 MFAM(2019 PYAs)'!AF$26:AF$274,MATCH(B176,'Revised 2020 MFAM(2019 PYAs)'!B$26:B$274,0)),0)</f>
        <v>-3.3039963233932212E-2</v>
      </c>
      <c r="Q176" s="60">
        <f t="shared" si="32"/>
        <v>-0.25396609912428164</v>
      </c>
      <c r="R176" s="60">
        <f t="shared" si="33"/>
        <v>-13.793536075691064</v>
      </c>
      <c r="S176" s="60"/>
      <c r="T176" s="108">
        <f t="shared" si="38"/>
        <v>9051.9416958521815</v>
      </c>
      <c r="U176" s="109">
        <v>0</v>
      </c>
      <c r="V176" s="110">
        <f t="shared" si="27"/>
        <v>0</v>
      </c>
      <c r="W176" s="60">
        <f t="shared" si="28"/>
        <v>9051.9416958521815</v>
      </c>
      <c r="X176" s="62"/>
      <c r="Y176" s="60">
        <f t="shared" si="34"/>
        <v>2262.9854239630454</v>
      </c>
      <c r="Z176" s="60">
        <f t="shared" si="35"/>
        <v>2262.9854239630454</v>
      </c>
      <c r="AA176" s="60">
        <f t="shared" si="36"/>
        <v>2262.9854239630454</v>
      </c>
      <c r="AB176" s="60">
        <f t="shared" si="37"/>
        <v>2262.9854239630454</v>
      </c>
    </row>
    <row r="177" spans="2:28" x14ac:dyDescent="0.35">
      <c r="B177">
        <v>188</v>
      </c>
      <c r="C177" s="17">
        <v>8</v>
      </c>
      <c r="D177" s="22" t="s">
        <v>194</v>
      </c>
      <c r="E177" s="90">
        <v>197.78</v>
      </c>
      <c r="F177" s="5">
        <v>162358.01</v>
      </c>
      <c r="G177" s="5">
        <v>42285</v>
      </c>
      <c r="H177" s="5">
        <v>120073.01000000001</v>
      </c>
      <c r="I177" s="58">
        <f t="shared" si="26"/>
        <v>607.10390332692896</v>
      </c>
      <c r="J177">
        <v>365</v>
      </c>
      <c r="K177" s="128" t="str">
        <f t="shared" si="29"/>
        <v>-</v>
      </c>
      <c r="L177" s="96">
        <f t="shared" si="30"/>
        <v>120073.01000000001</v>
      </c>
      <c r="M177" s="96">
        <f t="shared" si="31"/>
        <v>66979.620744859567</v>
      </c>
      <c r="N177" s="60"/>
      <c r="O177" s="60">
        <f>IFERROR(INDEX('Revised 2020 MFAM(2020 PYAs)'!U$20:U$269,MATCH(B177,'Revised 2020 MFAM(2020 PYAs)'!B$20:B$269,0)),0)</f>
        <v>-107.2391302410615</v>
      </c>
      <c r="P177" s="60">
        <f>IFERROR(INDEX('Revised 2020 MFAM(2019 PYAs)'!AF$26:AF$274,MATCH(B177,'Revised 2020 MFAM(2019 PYAs)'!B$26:B$274,0)),0)</f>
        <v>-0.59884501235501375</v>
      </c>
      <c r="Q177" s="60">
        <f t="shared" si="32"/>
        <v>-1.8763566954269433</v>
      </c>
      <c r="R177" s="60">
        <f t="shared" si="33"/>
        <v>-109.71433194884347</v>
      </c>
      <c r="S177" s="60"/>
      <c r="T177" s="108">
        <f t="shared" si="38"/>
        <v>66869.906412910728</v>
      </c>
      <c r="U177" s="109">
        <v>0</v>
      </c>
      <c r="V177" s="110">
        <f t="shared" si="27"/>
        <v>0</v>
      </c>
      <c r="W177" s="60">
        <f t="shared" si="28"/>
        <v>66869.906412910728</v>
      </c>
      <c r="X177" s="62"/>
      <c r="Y177" s="60">
        <f t="shared" si="34"/>
        <v>16717.476603227682</v>
      </c>
      <c r="Z177" s="60">
        <f t="shared" si="35"/>
        <v>16717.476603227682</v>
      </c>
      <c r="AA177" s="60">
        <f t="shared" si="36"/>
        <v>16717.476603227682</v>
      </c>
      <c r="AB177" s="60">
        <f t="shared" si="37"/>
        <v>16717.476603227682</v>
      </c>
    </row>
    <row r="178" spans="2:28" x14ac:dyDescent="0.35">
      <c r="B178">
        <v>232</v>
      </c>
      <c r="C178" s="17">
        <v>8</v>
      </c>
      <c r="D178" s="22" t="s">
        <v>195</v>
      </c>
      <c r="E178" s="90">
        <v>111.60992973333414</v>
      </c>
      <c r="F178" s="5">
        <v>148685.21</v>
      </c>
      <c r="G178" s="5">
        <v>0</v>
      </c>
      <c r="H178" s="5">
        <v>148685.21</v>
      </c>
      <c r="I178" s="58">
        <f t="shared" si="26"/>
        <v>1332.1862163630833</v>
      </c>
      <c r="J178">
        <v>365</v>
      </c>
      <c r="K178" s="128" t="str">
        <f t="shared" si="29"/>
        <v>-</v>
      </c>
      <c r="L178" s="96">
        <f t="shared" si="30"/>
        <v>148685.21</v>
      </c>
      <c r="M178" s="96">
        <f t="shared" si="31"/>
        <v>82940.195937203534</v>
      </c>
      <c r="N178" s="60"/>
      <c r="O178" s="60">
        <f>IFERROR(INDEX('Revised 2020 MFAM(2020 PYAs)'!U$20:U$269,MATCH(B178,'Revised 2020 MFAM(2020 PYAs)'!B$20:B$269,0)),0)</f>
        <v>-118.71639926654461</v>
      </c>
      <c r="P178" s="60">
        <f>IFERROR(INDEX('Revised 2020 MFAM(2019 PYAs)'!AF$26:AF$274,MATCH(B178,'Revised 2020 MFAM(2019 PYAs)'!B$26:B$274,0)),0)</f>
        <v>-0.50436658805847401</v>
      </c>
      <c r="Q178" s="60">
        <f t="shared" si="32"/>
        <v>-2.3234737706205668</v>
      </c>
      <c r="R178" s="60">
        <f t="shared" si="33"/>
        <v>-121.54423962522365</v>
      </c>
      <c r="S178" s="60"/>
      <c r="T178" s="108">
        <f t="shared" si="38"/>
        <v>82818.651697578316</v>
      </c>
      <c r="U178" s="109">
        <v>0</v>
      </c>
      <c r="V178" s="110">
        <f t="shared" si="27"/>
        <v>0</v>
      </c>
      <c r="W178" s="60">
        <f t="shared" si="28"/>
        <v>82818.651697578316</v>
      </c>
      <c r="X178" s="62"/>
      <c r="Y178" s="60">
        <f t="shared" si="34"/>
        <v>20704.662924394579</v>
      </c>
      <c r="Z178" s="60">
        <f t="shared" si="35"/>
        <v>20704.662924394579</v>
      </c>
      <c r="AA178" s="60">
        <f t="shared" si="36"/>
        <v>20704.662924394579</v>
      </c>
      <c r="AB178" s="60">
        <f t="shared" si="37"/>
        <v>20704.662924394579</v>
      </c>
    </row>
    <row r="179" spans="2:28" x14ac:dyDescent="0.35">
      <c r="B179">
        <v>245</v>
      </c>
      <c r="C179" s="17">
        <v>8</v>
      </c>
      <c r="D179" s="22" t="s">
        <v>196</v>
      </c>
      <c r="E179" s="90">
        <v>233.43</v>
      </c>
      <c r="F179" s="5">
        <v>637892.26</v>
      </c>
      <c r="G179" s="5">
        <v>0</v>
      </c>
      <c r="H179" s="5">
        <v>637892.26</v>
      </c>
      <c r="I179" s="58">
        <f t="shared" si="26"/>
        <v>2732.6918562309902</v>
      </c>
      <c r="J179">
        <v>365</v>
      </c>
      <c r="K179" s="128" t="str">
        <f t="shared" si="29"/>
        <v>-</v>
      </c>
      <c r="L179" s="96">
        <f t="shared" si="30"/>
        <v>637892.26</v>
      </c>
      <c r="M179" s="96">
        <f t="shared" si="31"/>
        <v>355831.6864954193</v>
      </c>
      <c r="N179" s="60"/>
      <c r="O179" s="60">
        <f>IFERROR(INDEX('Revised 2020 MFAM(2020 PYAs)'!U$20:U$269,MATCH(B179,'Revised 2020 MFAM(2020 PYAs)'!B$20:B$269,0)),0)</f>
        <v>-592.65426254301565</v>
      </c>
      <c r="P179" s="60">
        <f>IFERROR(INDEX('Revised 2020 MFAM(2019 PYAs)'!AF$26:AF$274,MATCH(B179,'Revised 2020 MFAM(2019 PYAs)'!B$26:B$274,0)),0)</f>
        <v>-1.9837665159429889</v>
      </c>
      <c r="Q179" s="60">
        <f t="shared" si="32"/>
        <v>-9.9682136144669329</v>
      </c>
      <c r="R179" s="60">
        <f t="shared" si="33"/>
        <v>-604.60624267342553</v>
      </c>
      <c r="S179" s="60"/>
      <c r="T179" s="108">
        <f t="shared" si="38"/>
        <v>355227.08025274589</v>
      </c>
      <c r="U179" s="109">
        <v>0</v>
      </c>
      <c r="V179" s="110">
        <f t="shared" si="27"/>
        <v>0</v>
      </c>
      <c r="W179" s="60">
        <f t="shared" si="28"/>
        <v>355227.08025274589</v>
      </c>
      <c r="X179" s="62"/>
      <c r="Y179" s="60">
        <f t="shared" si="34"/>
        <v>88806.770063186472</v>
      </c>
      <c r="Z179" s="60">
        <f t="shared" si="35"/>
        <v>88806.770063186472</v>
      </c>
      <c r="AA179" s="60">
        <f t="shared" si="36"/>
        <v>88806.770063186472</v>
      </c>
      <c r="AB179" s="60">
        <f t="shared" si="37"/>
        <v>88806.770063186472</v>
      </c>
    </row>
    <row r="180" spans="2:28" x14ac:dyDescent="0.35">
      <c r="B180">
        <v>372</v>
      </c>
      <c r="C180" s="17">
        <v>8</v>
      </c>
      <c r="D180" s="22" t="s">
        <v>197</v>
      </c>
      <c r="E180" s="90">
        <v>146.49000000000004</v>
      </c>
      <c r="F180" s="5">
        <v>96345.53</v>
      </c>
      <c r="G180" s="5">
        <v>0</v>
      </c>
      <c r="H180" s="5">
        <v>96345.53</v>
      </c>
      <c r="I180" s="58">
        <f t="shared" si="26"/>
        <v>657.69356270052549</v>
      </c>
      <c r="J180">
        <v>365</v>
      </c>
      <c r="K180" s="128" t="str">
        <f t="shared" si="29"/>
        <v>-</v>
      </c>
      <c r="L180" s="96">
        <f t="shared" si="30"/>
        <v>96345.530000000013</v>
      </c>
      <c r="M180" s="96">
        <f t="shared" si="31"/>
        <v>53743.860171927809</v>
      </c>
      <c r="N180" s="60"/>
      <c r="O180" s="60">
        <f>IFERROR(INDEX('Revised 2020 MFAM(2020 PYAs)'!U$20:U$269,MATCH(B180,'Revised 2020 MFAM(2020 PYAs)'!B$20:B$269,0)),0)</f>
        <v>-98.159930802423332</v>
      </c>
      <c r="P180" s="60">
        <f>IFERROR(INDEX('Revised 2020 MFAM(2019 PYAs)'!AF$26:AF$274,MATCH(B180,'Revised 2020 MFAM(2019 PYAs)'!B$26:B$274,0)),0)</f>
        <v>-0.37852982505137334</v>
      </c>
      <c r="Q180" s="60">
        <f t="shared" si="32"/>
        <v>-1.5055721538916815</v>
      </c>
      <c r="R180" s="60">
        <f t="shared" si="33"/>
        <v>-100.04403278136638</v>
      </c>
      <c r="S180" s="60"/>
      <c r="T180" s="108">
        <f t="shared" si="38"/>
        <v>53643.816139146445</v>
      </c>
      <c r="U180" s="109">
        <v>0</v>
      </c>
      <c r="V180" s="110">
        <f t="shared" si="27"/>
        <v>0</v>
      </c>
      <c r="W180" s="60">
        <f t="shared" si="28"/>
        <v>53643.816139146445</v>
      </c>
      <c r="X180" s="62"/>
      <c r="Y180" s="60">
        <f t="shared" si="34"/>
        <v>13410.954034786611</v>
      </c>
      <c r="Z180" s="60">
        <f t="shared" si="35"/>
        <v>13410.954034786611</v>
      </c>
      <c r="AA180" s="60">
        <f t="shared" si="36"/>
        <v>13410.954034786611</v>
      </c>
      <c r="AB180" s="60">
        <f t="shared" si="37"/>
        <v>13410.954034786611</v>
      </c>
    </row>
    <row r="181" spans="2:28" x14ac:dyDescent="0.35">
      <c r="B181">
        <v>375</v>
      </c>
      <c r="C181" s="17">
        <v>8</v>
      </c>
      <c r="D181" s="22" t="s">
        <v>198</v>
      </c>
      <c r="E181" s="90">
        <v>196.14000000000001</v>
      </c>
      <c r="F181" s="5">
        <v>237583.99</v>
      </c>
      <c r="G181" s="5">
        <v>0</v>
      </c>
      <c r="H181" s="5">
        <v>237583.99</v>
      </c>
      <c r="I181" s="58">
        <f t="shared" si="26"/>
        <v>1211.2980014275515</v>
      </c>
      <c r="J181">
        <v>365</v>
      </c>
      <c r="K181" s="128" t="str">
        <f t="shared" si="29"/>
        <v>-</v>
      </c>
      <c r="L181" s="96">
        <f t="shared" si="30"/>
        <v>237583.99</v>
      </c>
      <c r="M181" s="96">
        <f t="shared" si="31"/>
        <v>132530.0793679654</v>
      </c>
      <c r="N181" s="60"/>
      <c r="O181" s="60">
        <f>IFERROR(INDEX('Revised 2020 MFAM(2020 PYAs)'!U$20:U$269,MATCH(B181,'Revised 2020 MFAM(2020 PYAs)'!B$20:B$269,0)),0)</f>
        <v>-210.83076875304687</v>
      </c>
      <c r="P181" s="60">
        <f>IFERROR(INDEX('Revised 2020 MFAM(2019 PYAs)'!AF$26:AF$274,MATCH(B181,'Revised 2020 MFAM(2019 PYAs)'!B$26:B$274,0)),0)</f>
        <v>-0.98805896243720781</v>
      </c>
      <c r="Q181" s="60">
        <f t="shared" si="32"/>
        <v>-3.7126770650852157</v>
      </c>
      <c r="R181" s="60">
        <f t="shared" si="33"/>
        <v>-215.53150478056929</v>
      </c>
      <c r="S181" s="60"/>
      <c r="T181" s="108">
        <f t="shared" si="38"/>
        <v>132314.54786318482</v>
      </c>
      <c r="U181" s="109">
        <v>0</v>
      </c>
      <c r="V181" s="110">
        <f t="shared" si="27"/>
        <v>0</v>
      </c>
      <c r="W181" s="60">
        <f t="shared" si="28"/>
        <v>132314.54786318482</v>
      </c>
      <c r="X181" s="62"/>
      <c r="Y181" s="60">
        <f t="shared" si="34"/>
        <v>33078.636965796206</v>
      </c>
      <c r="Z181" s="60">
        <f t="shared" si="35"/>
        <v>33078.636965796206</v>
      </c>
      <c r="AA181" s="60">
        <f t="shared" si="36"/>
        <v>33078.636965796206</v>
      </c>
      <c r="AB181" s="60">
        <f t="shared" si="37"/>
        <v>33078.636965796206</v>
      </c>
    </row>
    <row r="182" spans="2:28" x14ac:dyDescent="0.35">
      <c r="B182">
        <v>404</v>
      </c>
      <c r="C182" s="17">
        <v>8</v>
      </c>
      <c r="D182" s="22" t="s">
        <v>199</v>
      </c>
      <c r="E182" s="90">
        <v>684.34</v>
      </c>
      <c r="F182" s="5">
        <v>381998.94</v>
      </c>
      <c r="G182" s="5">
        <v>85544.09</v>
      </c>
      <c r="H182" s="5">
        <v>296454.84999999998</v>
      </c>
      <c r="I182" s="58">
        <f t="shared" si="26"/>
        <v>433.19819095771101</v>
      </c>
      <c r="J182">
        <v>365</v>
      </c>
      <c r="K182" s="128" t="str">
        <f t="shared" si="29"/>
        <v>-</v>
      </c>
      <c r="L182" s="96">
        <f t="shared" si="30"/>
        <v>296454.84999999998</v>
      </c>
      <c r="M182" s="96">
        <f t="shared" si="31"/>
        <v>165369.66484786404</v>
      </c>
      <c r="N182" s="60"/>
      <c r="O182" s="60">
        <f>IFERROR(INDEX('Revised 2020 MFAM(2020 PYAs)'!U$20:U$269,MATCH(B182,'Revised 2020 MFAM(2020 PYAs)'!B$20:B$269,0)),0)</f>
        <v>-281.15728039451642</v>
      </c>
      <c r="P182" s="60">
        <f>IFERROR(INDEX('Revised 2020 MFAM(2019 PYAs)'!AF$26:AF$274,MATCH(B182,'Revised 2020 MFAM(2019 PYAs)'!B$26:B$274,0)),0)</f>
        <v>-1.2139018327143276</v>
      </c>
      <c r="Q182" s="60">
        <f t="shared" si="32"/>
        <v>-4.6326401136216209</v>
      </c>
      <c r="R182" s="60">
        <f t="shared" si="33"/>
        <v>-287.00382234085237</v>
      </c>
      <c r="S182" s="60"/>
      <c r="T182" s="108">
        <f t="shared" si="38"/>
        <v>165082.66102552318</v>
      </c>
      <c r="U182" s="109">
        <v>0</v>
      </c>
      <c r="V182" s="110">
        <f t="shared" si="27"/>
        <v>0</v>
      </c>
      <c r="W182" s="60">
        <f t="shared" si="28"/>
        <v>165082.66102552318</v>
      </c>
      <c r="X182" s="62"/>
      <c r="Y182" s="60">
        <f t="shared" si="34"/>
        <v>41270.665256380795</v>
      </c>
      <c r="Z182" s="60">
        <f t="shared" si="35"/>
        <v>41270.665256380795</v>
      </c>
      <c r="AA182" s="60">
        <f t="shared" si="36"/>
        <v>41270.665256380795</v>
      </c>
      <c r="AB182" s="60">
        <f t="shared" si="37"/>
        <v>41270.665256380795</v>
      </c>
    </row>
    <row r="183" spans="2:28" x14ac:dyDescent="0.35">
      <c r="B183">
        <v>413</v>
      </c>
      <c r="C183" s="17">
        <v>8</v>
      </c>
      <c r="D183" s="22" t="s">
        <v>200</v>
      </c>
      <c r="E183" s="90">
        <v>97.210000000000008</v>
      </c>
      <c r="F183" s="5">
        <v>52037.84</v>
      </c>
      <c r="G183" s="5">
        <v>0</v>
      </c>
      <c r="H183" s="5">
        <v>52037.84</v>
      </c>
      <c r="I183" s="58">
        <f t="shared" si="26"/>
        <v>535.31365085896505</v>
      </c>
      <c r="J183">
        <v>365</v>
      </c>
      <c r="K183" s="128" t="str">
        <f t="shared" si="29"/>
        <v>-</v>
      </c>
      <c r="L183" s="96">
        <f t="shared" si="30"/>
        <v>52037.84</v>
      </c>
      <c r="M183" s="96">
        <f t="shared" si="31"/>
        <v>29027.962133885725</v>
      </c>
      <c r="N183" s="60"/>
      <c r="O183" s="60">
        <f>IFERROR(INDEX('Revised 2020 MFAM(2020 PYAs)'!U$20:U$269,MATCH(B183,'Revised 2020 MFAM(2020 PYAs)'!B$20:B$269,0)),0)</f>
        <v>-58.579005989005964</v>
      </c>
      <c r="P183" s="60">
        <f>IFERROR(INDEX('Revised 2020 MFAM(2019 PYAs)'!AF$26:AF$274,MATCH(B183,'Revised 2020 MFAM(2019 PYAs)'!B$26:B$274,0)),0)</f>
        <v>-0.39780145112672471</v>
      </c>
      <c r="Q183" s="60">
        <f t="shared" si="32"/>
        <v>-0.81318482396298697</v>
      </c>
      <c r="R183" s="60">
        <f t="shared" si="33"/>
        <v>-59.789992264095673</v>
      </c>
      <c r="S183" s="60"/>
      <c r="T183" s="108">
        <f t="shared" si="38"/>
        <v>28968.172141621628</v>
      </c>
      <c r="U183" s="109">
        <v>0</v>
      </c>
      <c r="V183" s="110">
        <f t="shared" si="27"/>
        <v>0</v>
      </c>
      <c r="W183" s="60">
        <f t="shared" si="28"/>
        <v>28968.172141621628</v>
      </c>
      <c r="X183" s="62"/>
      <c r="Y183" s="60">
        <f t="shared" si="34"/>
        <v>7242.043035405407</v>
      </c>
      <c r="Z183" s="60">
        <f t="shared" si="35"/>
        <v>7242.043035405407</v>
      </c>
      <c r="AA183" s="60">
        <f t="shared" si="36"/>
        <v>7242.043035405407</v>
      </c>
      <c r="AB183" s="60">
        <f t="shared" si="37"/>
        <v>7242.043035405407</v>
      </c>
    </row>
    <row r="184" spans="2:28" x14ac:dyDescent="0.35">
      <c r="B184">
        <v>537</v>
      </c>
      <c r="C184" s="17">
        <v>8</v>
      </c>
      <c r="D184" s="22" t="s">
        <v>201</v>
      </c>
      <c r="E184" s="90">
        <v>11.846855238351052</v>
      </c>
      <c r="F184" s="5">
        <v>10378.780000000001</v>
      </c>
      <c r="G184" s="5">
        <v>0</v>
      </c>
      <c r="H184" s="5">
        <v>10378.780000000001</v>
      </c>
      <c r="I184" s="58">
        <f t="shared" si="26"/>
        <v>876.07890796212757</v>
      </c>
      <c r="J184">
        <v>365</v>
      </c>
      <c r="K184" s="128" t="str">
        <f t="shared" si="29"/>
        <v>-</v>
      </c>
      <c r="L184" s="96">
        <f t="shared" si="30"/>
        <v>10378.780000000001</v>
      </c>
      <c r="M184" s="96">
        <f t="shared" si="31"/>
        <v>5789.533786105083</v>
      </c>
      <c r="N184" s="60"/>
      <c r="O184" s="60">
        <f>IFERROR(INDEX('Revised 2020 MFAM(2020 PYAs)'!U$20:U$269,MATCH(B184,'Revised 2020 MFAM(2020 PYAs)'!B$20:B$269,0)),0)</f>
        <v>-7.5887925370388984</v>
      </c>
      <c r="P184" s="60">
        <f>IFERROR(INDEX('Revised 2020 MFAM(2019 PYAs)'!AF$26:AF$274,MATCH(B184,'Revised 2020 MFAM(2019 PYAs)'!B$26:B$274,0)),0)</f>
        <v>-3.3715393457896425E-2</v>
      </c>
      <c r="Q184" s="60">
        <f t="shared" si="32"/>
        <v>-0.16218710052628185</v>
      </c>
      <c r="R184" s="60">
        <f t="shared" si="33"/>
        <v>-7.7846950310230767</v>
      </c>
      <c r="S184" s="60"/>
      <c r="T184" s="108">
        <f t="shared" si="38"/>
        <v>5781.7490910740598</v>
      </c>
      <c r="U184" s="109">
        <v>0</v>
      </c>
      <c r="V184" s="110">
        <f t="shared" si="27"/>
        <v>0</v>
      </c>
      <c r="W184" s="60">
        <f t="shared" si="28"/>
        <v>5781.7490910740598</v>
      </c>
      <c r="X184" s="62"/>
      <c r="Y184" s="60">
        <f t="shared" si="34"/>
        <v>1445.437272768515</v>
      </c>
      <c r="Z184" s="60">
        <f t="shared" si="35"/>
        <v>1445.437272768515</v>
      </c>
      <c r="AA184" s="60">
        <f t="shared" si="36"/>
        <v>1445.437272768515</v>
      </c>
      <c r="AB184" s="60">
        <f t="shared" si="37"/>
        <v>1445.437272768515</v>
      </c>
    </row>
    <row r="185" spans="2:28" x14ac:dyDescent="0.35">
      <c r="B185">
        <v>545</v>
      </c>
      <c r="C185" s="17">
        <v>8</v>
      </c>
      <c r="D185" s="22" t="s">
        <v>202</v>
      </c>
      <c r="E185" s="90">
        <v>13.284389435241188</v>
      </c>
      <c r="F185" s="5">
        <v>9315.41</v>
      </c>
      <c r="G185" s="5">
        <v>0</v>
      </c>
      <c r="H185" s="5">
        <v>9315.41</v>
      </c>
      <c r="I185" s="58">
        <f t="shared" si="26"/>
        <v>701.22981906024438</v>
      </c>
      <c r="J185">
        <v>365</v>
      </c>
      <c r="K185" s="128" t="str">
        <f t="shared" si="29"/>
        <v>-</v>
      </c>
      <c r="L185" s="96">
        <f t="shared" si="30"/>
        <v>9315.41</v>
      </c>
      <c r="M185" s="96">
        <f t="shared" si="31"/>
        <v>5196.3603551112119</v>
      </c>
      <c r="N185" s="60"/>
      <c r="O185" s="60">
        <f>IFERROR(INDEX('Revised 2020 MFAM(2020 PYAs)'!U$20:U$269,MATCH(B185,'Revised 2020 MFAM(2020 PYAs)'!B$20:B$269,0)),0)</f>
        <v>-6.7487157207074233</v>
      </c>
      <c r="P185" s="60">
        <f>IFERROR(INDEX('Revised 2020 MFAM(2019 PYAs)'!AF$26:AF$274,MATCH(B185,'Revised 2020 MFAM(2019 PYAs)'!B$26:B$274,0)),0)</f>
        <v>-3.6339380792924203E-2</v>
      </c>
      <c r="Q185" s="60">
        <f t="shared" si="32"/>
        <v>-0.14557003213417483</v>
      </c>
      <c r="R185" s="60">
        <f t="shared" si="33"/>
        <v>-6.9306251336345222</v>
      </c>
      <c r="S185" s="60"/>
      <c r="T185" s="108">
        <f t="shared" si="38"/>
        <v>5189.4297299775772</v>
      </c>
      <c r="U185" s="109">
        <v>0</v>
      </c>
      <c r="V185" s="110">
        <f t="shared" si="27"/>
        <v>0</v>
      </c>
      <c r="W185" s="60">
        <f t="shared" si="28"/>
        <v>5189.4297299775772</v>
      </c>
      <c r="X185" s="62"/>
      <c r="Y185" s="60">
        <f t="shared" si="34"/>
        <v>1297.3574324943943</v>
      </c>
      <c r="Z185" s="60">
        <f t="shared" si="35"/>
        <v>1297.3574324943943</v>
      </c>
      <c r="AA185" s="60">
        <f t="shared" si="36"/>
        <v>1297.3574324943943</v>
      </c>
      <c r="AB185" s="60">
        <f t="shared" si="37"/>
        <v>1297.3574324943943</v>
      </c>
    </row>
    <row r="186" spans="2:28" x14ac:dyDescent="0.35">
      <c r="B186">
        <v>605</v>
      </c>
      <c r="C186" s="17">
        <v>8</v>
      </c>
      <c r="D186" s="22" t="s">
        <v>203</v>
      </c>
      <c r="E186" s="90">
        <v>12.671726311369493</v>
      </c>
      <c r="F186" s="5">
        <v>10474.06</v>
      </c>
      <c r="G186" s="5">
        <v>0</v>
      </c>
      <c r="H186" s="5">
        <v>10474.06</v>
      </c>
      <c r="I186" s="58">
        <f t="shared" si="26"/>
        <v>826.56930418409729</v>
      </c>
      <c r="J186">
        <v>365</v>
      </c>
      <c r="K186" s="128" t="str">
        <f t="shared" si="29"/>
        <v>-</v>
      </c>
      <c r="L186" s="96">
        <f t="shared" si="30"/>
        <v>10474.06</v>
      </c>
      <c r="M186" s="96">
        <f t="shared" si="31"/>
        <v>5842.6832679459239</v>
      </c>
      <c r="N186" s="60"/>
      <c r="O186" s="60">
        <f>IFERROR(INDEX('Revised 2020 MFAM(2020 PYAs)'!U$20:U$269,MATCH(B186,'Revised 2020 MFAM(2020 PYAs)'!B$20:B$269,0)),0)</f>
        <v>-7.6413456254231278</v>
      </c>
      <c r="P186" s="60">
        <f>IFERROR(INDEX('Revised 2020 MFAM(2019 PYAs)'!AF$26:AF$274,MATCH(B186,'Revised 2020 MFAM(2019 PYAs)'!B$26:B$274,0)),0)</f>
        <v>-3.5549381691453164E-2</v>
      </c>
      <c r="Q186" s="60">
        <f t="shared" si="32"/>
        <v>-0.16367602185789731</v>
      </c>
      <c r="R186" s="60">
        <f t="shared" si="33"/>
        <v>-7.8405710289724784</v>
      </c>
      <c r="S186" s="60"/>
      <c r="T186" s="108">
        <f t="shared" si="38"/>
        <v>5834.8426969169514</v>
      </c>
      <c r="U186" s="109">
        <v>0</v>
      </c>
      <c r="V186" s="110">
        <f t="shared" si="27"/>
        <v>0</v>
      </c>
      <c r="W186" s="60">
        <f t="shared" si="28"/>
        <v>5834.8426969169514</v>
      </c>
      <c r="X186" s="62"/>
      <c r="Y186" s="60">
        <f t="shared" si="34"/>
        <v>1458.7106742292378</v>
      </c>
      <c r="Z186" s="60">
        <f t="shared" si="35"/>
        <v>1458.7106742292378</v>
      </c>
      <c r="AA186" s="60">
        <f t="shared" si="36"/>
        <v>1458.7106742292378</v>
      </c>
      <c r="AB186" s="60">
        <f t="shared" si="37"/>
        <v>1458.7106742292378</v>
      </c>
    </row>
    <row r="187" spans="2:28" x14ac:dyDescent="0.35">
      <c r="B187">
        <v>607</v>
      </c>
      <c r="C187" s="17">
        <v>8</v>
      </c>
      <c r="D187" s="22" t="s">
        <v>204</v>
      </c>
      <c r="E187" s="90">
        <v>19.000478509528218</v>
      </c>
      <c r="F187" s="5">
        <v>15679</v>
      </c>
      <c r="G187" s="5">
        <v>0</v>
      </c>
      <c r="H187" s="5">
        <v>15679</v>
      </c>
      <c r="I187" s="58">
        <f t="shared" si="26"/>
        <v>825.1897441497282</v>
      </c>
      <c r="J187">
        <v>365</v>
      </c>
      <c r="K187" s="128" t="str">
        <f t="shared" si="29"/>
        <v>-</v>
      </c>
      <c r="L187" s="96">
        <f t="shared" si="30"/>
        <v>15679</v>
      </c>
      <c r="M187" s="96">
        <f t="shared" si="31"/>
        <v>8746.1243260134233</v>
      </c>
      <c r="N187" s="60"/>
      <c r="O187" s="60">
        <f>IFERROR(INDEX('Revised 2020 MFAM(2020 PYAs)'!U$20:U$269,MATCH(B187,'Revised 2020 MFAM(2020 PYAs)'!B$20:B$269,0)),0)</f>
        <v>-11.43563915487357</v>
      </c>
      <c r="P187" s="60">
        <f>IFERROR(INDEX('Revised 2020 MFAM(2019 PYAs)'!AF$26:AF$274,MATCH(B187,'Revised 2020 MFAM(2019 PYAs)'!B$26:B$274,0)),0)</f>
        <v>-5.3750421381664637E-2</v>
      </c>
      <c r="Q187" s="60">
        <f t="shared" si="32"/>
        <v>-0.24501256883290456</v>
      </c>
      <c r="R187" s="60">
        <f t="shared" si="33"/>
        <v>-11.73440214508814</v>
      </c>
      <c r="S187" s="60"/>
      <c r="T187" s="108">
        <f t="shared" si="38"/>
        <v>8734.3899238683352</v>
      </c>
      <c r="U187" s="109">
        <v>0</v>
      </c>
      <c r="V187" s="110">
        <f t="shared" si="27"/>
        <v>0</v>
      </c>
      <c r="W187" s="60">
        <f t="shared" si="28"/>
        <v>8734.3899238683352</v>
      </c>
      <c r="X187" s="62"/>
      <c r="Y187" s="60">
        <f t="shared" si="34"/>
        <v>2183.5974809670838</v>
      </c>
      <c r="Z187" s="60">
        <f t="shared" si="35"/>
        <v>2183.5974809670838</v>
      </c>
      <c r="AA187" s="60">
        <f t="shared" si="36"/>
        <v>2183.5974809670838</v>
      </c>
      <c r="AB187" s="60">
        <f t="shared" si="37"/>
        <v>2183.5974809670838</v>
      </c>
    </row>
    <row r="188" spans="2:28" x14ac:dyDescent="0.35">
      <c r="B188">
        <v>610</v>
      </c>
      <c r="C188" s="17">
        <v>8</v>
      </c>
      <c r="D188" s="22" t="s">
        <v>205</v>
      </c>
      <c r="E188" s="90">
        <v>56.849114366530806</v>
      </c>
      <c r="F188" s="5">
        <v>49648</v>
      </c>
      <c r="G188" s="5">
        <v>0</v>
      </c>
      <c r="H188" s="5">
        <v>49648</v>
      </c>
      <c r="I188" s="58">
        <f t="shared" si="26"/>
        <v>873.32934827969154</v>
      </c>
      <c r="J188">
        <v>365</v>
      </c>
      <c r="K188" s="128" t="str">
        <f t="shared" si="29"/>
        <v>-</v>
      </c>
      <c r="L188" s="96">
        <f t="shared" si="30"/>
        <v>49648</v>
      </c>
      <c r="M188" s="96">
        <f t="shared" si="31"/>
        <v>27694.851746789616</v>
      </c>
      <c r="N188" s="60"/>
      <c r="O188" s="60">
        <f>IFERROR(INDEX('Revised 2020 MFAM(2020 PYAs)'!U$20:U$269,MATCH(B188,'Revised 2020 MFAM(2020 PYAs)'!B$20:B$269,0)),0)</f>
        <v>-32.708503034955356</v>
      </c>
      <c r="P188" s="60">
        <f>IFERROR(INDEX('Revised 2020 MFAM(2019 PYAs)'!AF$26:AF$274,MATCH(B188,'Revised 2020 MFAM(2019 PYAs)'!B$26:B$274,0)),0)</f>
        <v>-0.16688416759825486</v>
      </c>
      <c r="Q188" s="60">
        <f t="shared" si="32"/>
        <v>-0.77583927657478435</v>
      </c>
      <c r="R188" s="60">
        <f t="shared" si="33"/>
        <v>-33.651226479128397</v>
      </c>
      <c r="S188" s="60"/>
      <c r="T188" s="108">
        <f t="shared" si="38"/>
        <v>27661.200520310489</v>
      </c>
      <c r="U188" s="109">
        <v>0</v>
      </c>
      <c r="V188" s="110">
        <f t="shared" si="27"/>
        <v>0</v>
      </c>
      <c r="W188" s="60">
        <f t="shared" si="28"/>
        <v>27661.200520310489</v>
      </c>
      <c r="X188" s="62"/>
      <c r="Y188" s="60">
        <f t="shared" si="34"/>
        <v>6915.3001300776223</v>
      </c>
      <c r="Z188" s="60">
        <f t="shared" si="35"/>
        <v>6915.3001300776223</v>
      </c>
      <c r="AA188" s="60">
        <f t="shared" si="36"/>
        <v>6915.3001300776223</v>
      </c>
      <c r="AB188" s="60">
        <f t="shared" si="37"/>
        <v>6915.3001300776223</v>
      </c>
    </row>
    <row r="189" spans="2:28" x14ac:dyDescent="0.35">
      <c r="B189">
        <v>611</v>
      </c>
      <c r="C189" s="17">
        <v>8</v>
      </c>
      <c r="D189" s="22" t="s">
        <v>206</v>
      </c>
      <c r="E189" s="90">
        <v>14.442605687190882</v>
      </c>
      <c r="F189" s="5">
        <v>28586.57</v>
      </c>
      <c r="G189" s="5">
        <v>0</v>
      </c>
      <c r="H189" s="5">
        <v>28586.57</v>
      </c>
      <c r="I189" s="58">
        <f t="shared" si="26"/>
        <v>1979.3221956723066</v>
      </c>
      <c r="J189">
        <v>365</v>
      </c>
      <c r="K189" s="128" t="str">
        <f t="shared" si="29"/>
        <v>-</v>
      </c>
      <c r="L189" s="96">
        <f t="shared" si="30"/>
        <v>28586.570000000003</v>
      </c>
      <c r="M189" s="96">
        <f t="shared" si="31"/>
        <v>15946.278160232512</v>
      </c>
      <c r="N189" s="60"/>
      <c r="O189" s="60">
        <f>IFERROR(INDEX('Revised 2020 MFAM(2020 PYAs)'!U$20:U$269,MATCH(B189,'Revised 2020 MFAM(2020 PYAs)'!B$20:B$269,0)),0)</f>
        <v>-19.575302139628548</v>
      </c>
      <c r="P189" s="60">
        <f>IFERROR(INDEX('Revised 2020 MFAM(2019 PYAs)'!AF$26:AF$274,MATCH(B189,'Revised 2020 MFAM(2019 PYAs)'!B$26:B$274,0)),0)</f>
        <v>-0.15708509194701037</v>
      </c>
      <c r="Q189" s="60">
        <f t="shared" si="32"/>
        <v>-0.446716560355995</v>
      </c>
      <c r="R189" s="60">
        <f t="shared" si="33"/>
        <v>-20.179103791931553</v>
      </c>
      <c r="S189" s="60"/>
      <c r="T189" s="108">
        <f t="shared" si="38"/>
        <v>15926.09905644058</v>
      </c>
      <c r="U189" s="109">
        <v>0</v>
      </c>
      <c r="V189" s="110">
        <f t="shared" si="27"/>
        <v>0</v>
      </c>
      <c r="W189" s="60">
        <f t="shared" si="28"/>
        <v>15926.09905644058</v>
      </c>
      <c r="X189" s="62"/>
      <c r="Y189" s="60">
        <f t="shared" si="34"/>
        <v>3981.524764110145</v>
      </c>
      <c r="Z189" s="60">
        <f t="shared" si="35"/>
        <v>3981.524764110145</v>
      </c>
      <c r="AA189" s="60">
        <f t="shared" si="36"/>
        <v>3981.524764110145</v>
      </c>
      <c r="AB189" s="60">
        <f t="shared" si="37"/>
        <v>3981.524764110145</v>
      </c>
    </row>
    <row r="190" spans="2:28" x14ac:dyDescent="0.35">
      <c r="B190">
        <v>616</v>
      </c>
      <c r="C190" s="17">
        <v>8</v>
      </c>
      <c r="D190" s="22" t="s">
        <v>207</v>
      </c>
      <c r="E190" s="90">
        <v>180.31</v>
      </c>
      <c r="F190" s="5">
        <v>194901.43</v>
      </c>
      <c r="G190" s="5">
        <v>0</v>
      </c>
      <c r="H190" s="5">
        <v>194901.43</v>
      </c>
      <c r="I190" s="58">
        <f t="shared" si="26"/>
        <v>1080.9241306638567</v>
      </c>
      <c r="J190">
        <v>365</v>
      </c>
      <c r="K190" s="128" t="str">
        <f t="shared" si="29"/>
        <v>-</v>
      </c>
      <c r="L190" s="96">
        <f t="shared" si="30"/>
        <v>194901.43000000002</v>
      </c>
      <c r="M190" s="96">
        <f t="shared" si="31"/>
        <v>108720.71803672444</v>
      </c>
      <c r="N190" s="60"/>
      <c r="O190" s="60">
        <f>IFERROR(INDEX('Revised 2020 MFAM(2020 PYAs)'!U$20:U$269,MATCH(B190,'Revised 2020 MFAM(2020 PYAs)'!B$20:B$269,0)),0)</f>
        <v>-183.66213711911405</v>
      </c>
      <c r="P190" s="60">
        <f>IFERROR(INDEX('Revised 2020 MFAM(2019 PYAs)'!AF$26:AF$274,MATCH(B190,'Revised 2020 MFAM(2019 PYAs)'!B$26:B$274,0)),0)</f>
        <v>-1.1648005345487036</v>
      </c>
      <c r="Q190" s="60">
        <f t="shared" si="32"/>
        <v>-3.0456853137002704</v>
      </c>
      <c r="R190" s="60">
        <f t="shared" si="33"/>
        <v>-187.87262296736301</v>
      </c>
      <c r="S190" s="60"/>
      <c r="T190" s="108">
        <f t="shared" si="38"/>
        <v>108532.84541375708</v>
      </c>
      <c r="U190" s="109">
        <v>0</v>
      </c>
      <c r="V190" s="110">
        <f t="shared" si="27"/>
        <v>0</v>
      </c>
      <c r="W190" s="60">
        <f t="shared" si="28"/>
        <v>108532.84541375708</v>
      </c>
      <c r="X190" s="62"/>
      <c r="Y190" s="60">
        <f t="shared" si="34"/>
        <v>27133.21135343927</v>
      </c>
      <c r="Z190" s="60">
        <f t="shared" si="35"/>
        <v>27133.21135343927</v>
      </c>
      <c r="AA190" s="60">
        <f t="shared" si="36"/>
        <v>27133.21135343927</v>
      </c>
      <c r="AB190" s="60">
        <f t="shared" si="37"/>
        <v>27133.21135343927</v>
      </c>
    </row>
    <row r="191" spans="2:28" x14ac:dyDescent="0.35">
      <c r="B191">
        <v>638</v>
      </c>
      <c r="C191" s="17">
        <v>8</v>
      </c>
      <c r="D191" s="22" t="s">
        <v>208</v>
      </c>
      <c r="E191" s="90">
        <v>14.741014951441617</v>
      </c>
      <c r="F191" s="5">
        <v>18897.990000000002</v>
      </c>
      <c r="G191" s="5">
        <v>0</v>
      </c>
      <c r="H191" s="5">
        <v>18897.990000000002</v>
      </c>
      <c r="I191" s="58">
        <f t="shared" si="26"/>
        <v>1282.0005991617184</v>
      </c>
      <c r="J191">
        <v>365</v>
      </c>
      <c r="K191" s="128" t="str">
        <f t="shared" si="29"/>
        <v>-</v>
      </c>
      <c r="L191" s="96">
        <f t="shared" si="30"/>
        <v>18897.990000000002</v>
      </c>
      <c r="M191" s="96">
        <f t="shared" si="31"/>
        <v>10541.754579485836</v>
      </c>
      <c r="N191" s="60"/>
      <c r="O191" s="60">
        <f>IFERROR(INDEX('Revised 2020 MFAM(2020 PYAs)'!U$20:U$269,MATCH(B191,'Revised 2020 MFAM(2020 PYAs)'!B$20:B$269,0)),0)</f>
        <v>-14.298393439539723</v>
      </c>
      <c r="P191" s="60">
        <f>IFERROR(INDEX('Revised 2020 MFAM(2019 PYAs)'!AF$26:AF$274,MATCH(B191,'Revised 2020 MFAM(2019 PYAs)'!B$26:B$274,0)),0)</f>
        <v>-8.9400227770966012E-2</v>
      </c>
      <c r="Q191" s="60">
        <f t="shared" si="32"/>
        <v>-0.29531507594097473</v>
      </c>
      <c r="R191" s="60">
        <f t="shared" si="33"/>
        <v>-14.683108743251664</v>
      </c>
      <c r="S191" s="60"/>
      <c r="T191" s="108">
        <f t="shared" si="38"/>
        <v>10527.071470742585</v>
      </c>
      <c r="U191" s="109">
        <v>0</v>
      </c>
      <c r="V191" s="110">
        <f t="shared" si="27"/>
        <v>0</v>
      </c>
      <c r="W191" s="60">
        <f t="shared" si="28"/>
        <v>10527.071470742585</v>
      </c>
      <c r="X191" s="62"/>
      <c r="Y191" s="60">
        <f t="shared" si="34"/>
        <v>2631.7678676856463</v>
      </c>
      <c r="Z191" s="60">
        <f t="shared" si="35"/>
        <v>2631.7678676856463</v>
      </c>
      <c r="AA191" s="60">
        <f t="shared" si="36"/>
        <v>2631.7678676856463</v>
      </c>
      <c r="AB191" s="60">
        <f t="shared" si="37"/>
        <v>2631.7678676856463</v>
      </c>
    </row>
    <row r="192" spans="2:28" x14ac:dyDescent="0.35">
      <c r="B192">
        <v>639</v>
      </c>
      <c r="C192" s="17">
        <v>8</v>
      </c>
      <c r="D192" s="22" t="s">
        <v>209</v>
      </c>
      <c r="E192" s="90">
        <v>7.0282668016038246</v>
      </c>
      <c r="F192" s="5">
        <v>39204.06</v>
      </c>
      <c r="G192" s="5">
        <v>0</v>
      </c>
      <c r="H192" s="5">
        <v>39204.06</v>
      </c>
      <c r="I192" s="58">
        <f t="shared" si="26"/>
        <v>5578.0551744355771</v>
      </c>
      <c r="J192">
        <v>365</v>
      </c>
      <c r="K192" s="128" t="str">
        <f t="shared" si="29"/>
        <v>-</v>
      </c>
      <c r="L192" s="96">
        <f t="shared" si="30"/>
        <v>39204.06</v>
      </c>
      <c r="M192" s="96">
        <f t="shared" si="31"/>
        <v>21868.970141239224</v>
      </c>
      <c r="N192" s="60"/>
      <c r="O192" s="60">
        <f>IFERROR(INDEX('Revised 2020 MFAM(2020 PYAs)'!U$20:U$269,MATCH(B192,'Revised 2020 MFAM(2020 PYAs)'!B$20:B$269,0)),0)</f>
        <v>0</v>
      </c>
      <c r="P192" s="60">
        <f>IFERROR(INDEX('Revised 2020 MFAM(2019 PYAs)'!AF$26:AF$274,MATCH(B192,'Revised 2020 MFAM(2019 PYAs)'!B$26:B$274,0)),0)</f>
        <v>-9.1430240057889023E-2</v>
      </c>
      <c r="Q192" s="60">
        <f t="shared" si="32"/>
        <v>-0.61263393387839282</v>
      </c>
      <c r="R192" s="60">
        <f t="shared" si="33"/>
        <v>-0.70406417393628185</v>
      </c>
      <c r="S192" s="60"/>
      <c r="T192" s="108">
        <f t="shared" si="38"/>
        <v>21868.266077065287</v>
      </c>
      <c r="U192" s="109">
        <v>0</v>
      </c>
      <c r="V192" s="110">
        <f t="shared" si="27"/>
        <v>0</v>
      </c>
      <c r="W192" s="60">
        <f t="shared" si="28"/>
        <v>21868.266077065287</v>
      </c>
      <c r="X192" s="62"/>
      <c r="Y192" s="60">
        <f t="shared" si="34"/>
        <v>5467.0665192663218</v>
      </c>
      <c r="Z192" s="60">
        <f t="shared" si="35"/>
        <v>5467.0665192663218</v>
      </c>
      <c r="AA192" s="60">
        <f t="shared" si="36"/>
        <v>5467.0665192663218</v>
      </c>
      <c r="AB192" s="60">
        <f t="shared" si="37"/>
        <v>5467.0665192663218</v>
      </c>
    </row>
    <row r="193" spans="2:28" x14ac:dyDescent="0.35">
      <c r="B193">
        <v>645</v>
      </c>
      <c r="C193" s="17">
        <v>8</v>
      </c>
      <c r="D193" s="22" t="s">
        <v>210</v>
      </c>
      <c r="E193" s="90">
        <v>13.645927492434376</v>
      </c>
      <c r="F193" s="5">
        <v>10787.41</v>
      </c>
      <c r="G193" s="5">
        <v>0</v>
      </c>
      <c r="H193" s="5">
        <v>10787.41</v>
      </c>
      <c r="I193" s="58">
        <f t="shared" si="26"/>
        <v>790.52230095614925</v>
      </c>
      <c r="J193">
        <v>365</v>
      </c>
      <c r="K193" s="128" t="str">
        <f t="shared" si="29"/>
        <v>-</v>
      </c>
      <c r="L193" s="96">
        <f t="shared" si="30"/>
        <v>10787.41</v>
      </c>
      <c r="M193" s="96">
        <f t="shared" si="31"/>
        <v>6017.477454919348</v>
      </c>
      <c r="N193" s="60"/>
      <c r="O193" s="60">
        <f>IFERROR(INDEX('Revised 2020 MFAM(2020 PYAs)'!U$20:U$269,MATCH(B193,'Revised 2020 MFAM(2020 PYAs)'!B$20:B$269,0)),0)</f>
        <v>-7.3407886445047552</v>
      </c>
      <c r="P193" s="60">
        <f>IFERROR(INDEX('Revised 2020 MFAM(2019 PYAs)'!AF$26:AF$274,MATCH(B193,'Revised 2020 MFAM(2019 PYAs)'!B$26:B$274,0)),0)</f>
        <v>-3.3706675113535312E-2</v>
      </c>
      <c r="Q193" s="60">
        <f t="shared" si="32"/>
        <v>-0.16857267907097154</v>
      </c>
      <c r="R193" s="60">
        <f t="shared" si="33"/>
        <v>-7.5430679986892617</v>
      </c>
      <c r="S193" s="60"/>
      <c r="T193" s="108">
        <f t="shared" si="38"/>
        <v>6009.9343869206587</v>
      </c>
      <c r="U193" s="109">
        <v>0</v>
      </c>
      <c r="V193" s="110">
        <f t="shared" si="27"/>
        <v>0</v>
      </c>
      <c r="W193" s="60">
        <f t="shared" si="28"/>
        <v>6009.9343869206587</v>
      </c>
      <c r="X193" s="62"/>
      <c r="Y193" s="60">
        <f t="shared" si="34"/>
        <v>1502.4835967301647</v>
      </c>
      <c r="Z193" s="60">
        <f t="shared" si="35"/>
        <v>1502.4835967301647</v>
      </c>
      <c r="AA193" s="60">
        <f t="shared" si="36"/>
        <v>1502.4835967301647</v>
      </c>
      <c r="AB193" s="60">
        <f t="shared" si="37"/>
        <v>1502.4835967301647</v>
      </c>
    </row>
    <row r="194" spans="2:28" x14ac:dyDescent="0.35">
      <c r="B194">
        <v>714</v>
      </c>
      <c r="C194" s="17">
        <v>8</v>
      </c>
      <c r="D194" s="22" t="s">
        <v>211</v>
      </c>
      <c r="E194" s="90">
        <v>53.909701908931218</v>
      </c>
      <c r="F194" s="5">
        <v>106378.43</v>
      </c>
      <c r="G194" s="5">
        <v>0</v>
      </c>
      <c r="H194" s="5">
        <v>106378.43</v>
      </c>
      <c r="I194" s="58">
        <f t="shared" si="26"/>
        <v>1973.2706031226687</v>
      </c>
      <c r="J194">
        <v>365</v>
      </c>
      <c r="K194" s="128" t="str">
        <f t="shared" si="29"/>
        <v>-</v>
      </c>
      <c r="L194" s="96">
        <f t="shared" si="30"/>
        <v>106378.43</v>
      </c>
      <c r="M194" s="96">
        <f t="shared" si="31"/>
        <v>59340.453752542635</v>
      </c>
      <c r="N194" s="60"/>
      <c r="O194" s="60">
        <f>IFERROR(INDEX('Revised 2020 MFAM(2020 PYAs)'!U$20:U$269,MATCH(B194,'Revised 2020 MFAM(2020 PYAs)'!B$20:B$269,0)),0)</f>
        <v>-91.501181629326311</v>
      </c>
      <c r="P194" s="60">
        <f>IFERROR(INDEX('Revised 2020 MFAM(2019 PYAs)'!AF$26:AF$274,MATCH(B194,'Revised 2020 MFAM(2019 PYAs)'!B$26:B$274,0)),0)</f>
        <v>-0.2682851534736983</v>
      </c>
      <c r="Q194" s="60">
        <f t="shared" si="32"/>
        <v>-1.6623542574597434</v>
      </c>
      <c r="R194" s="60">
        <f t="shared" si="33"/>
        <v>-93.431821040259749</v>
      </c>
      <c r="S194" s="60"/>
      <c r="T194" s="108">
        <f t="shared" si="38"/>
        <v>59247.021931502379</v>
      </c>
      <c r="U194" s="109">
        <v>0</v>
      </c>
      <c r="V194" s="110">
        <f t="shared" si="27"/>
        <v>0</v>
      </c>
      <c r="W194" s="60">
        <f t="shared" si="28"/>
        <v>59247.021931502379</v>
      </c>
      <c r="X194" s="62"/>
      <c r="Y194" s="60">
        <f t="shared" si="34"/>
        <v>14811.755482875595</v>
      </c>
      <c r="Z194" s="60">
        <f t="shared" si="35"/>
        <v>14811.755482875595</v>
      </c>
      <c r="AA194" s="60">
        <f t="shared" si="36"/>
        <v>14811.755482875595</v>
      </c>
      <c r="AB194" s="60">
        <f t="shared" si="37"/>
        <v>14811.755482875595</v>
      </c>
    </row>
    <row r="195" spans="2:28" x14ac:dyDescent="0.35">
      <c r="B195">
        <v>749</v>
      </c>
      <c r="C195" s="17">
        <v>8</v>
      </c>
      <c r="D195" s="22" t="s">
        <v>212</v>
      </c>
      <c r="E195" s="90">
        <v>23.936469206960343</v>
      </c>
      <c r="F195" s="5">
        <v>13380.73</v>
      </c>
      <c r="G195" s="5">
        <v>1145.08</v>
      </c>
      <c r="H195" s="5">
        <v>12235.65</v>
      </c>
      <c r="I195" s="58">
        <f t="shared" si="26"/>
        <v>511.17188145869352</v>
      </c>
      <c r="J195">
        <v>365</v>
      </c>
      <c r="K195" s="128" t="str">
        <f t="shared" si="29"/>
        <v>-</v>
      </c>
      <c r="L195" s="96">
        <f t="shared" si="30"/>
        <v>12235.65</v>
      </c>
      <c r="M195" s="96">
        <f t="shared" si="31"/>
        <v>6825.3406537142764</v>
      </c>
      <c r="N195" s="60"/>
      <c r="O195" s="60">
        <f>IFERROR(INDEX('Revised 2020 MFAM(2020 PYAs)'!U$20:U$269,MATCH(B195,'Revised 2020 MFAM(2020 PYAs)'!B$20:B$269,0)),0)</f>
        <v>-10.900393264714694</v>
      </c>
      <c r="P195" s="60">
        <f>IFERROR(INDEX('Revised 2020 MFAM(2019 PYAs)'!AF$26:AF$274,MATCH(B195,'Revised 2020 MFAM(2019 PYAs)'!B$26:B$274,0)),0)</f>
        <v>-1.9865181868681248E-2</v>
      </c>
      <c r="Q195" s="60">
        <f t="shared" si="32"/>
        <v>-0.19120403328275584</v>
      </c>
      <c r="R195" s="60">
        <f t="shared" si="33"/>
        <v>-11.11146247986613</v>
      </c>
      <c r="S195" s="60"/>
      <c r="T195" s="108">
        <f t="shared" si="38"/>
        <v>6814.2291912344099</v>
      </c>
      <c r="U195" s="109">
        <v>1</v>
      </c>
      <c r="V195" s="110">
        <f t="shared" si="27"/>
        <v>-681.42291912344103</v>
      </c>
      <c r="W195" s="60">
        <f t="shared" si="28"/>
        <v>6132.8062721109691</v>
      </c>
      <c r="X195" s="62"/>
      <c r="Y195" s="60">
        <f t="shared" si="34"/>
        <v>1533.2015680277423</v>
      </c>
      <c r="Z195" s="60">
        <f t="shared" si="35"/>
        <v>1533.2015680277423</v>
      </c>
      <c r="AA195" s="60">
        <f t="shared" si="36"/>
        <v>1533.2015680277423</v>
      </c>
      <c r="AB195" s="60">
        <f t="shared" si="37"/>
        <v>1533.2015680277423</v>
      </c>
    </row>
    <row r="196" spans="2:28" x14ac:dyDescent="0.35">
      <c r="B196">
        <v>764</v>
      </c>
      <c r="C196" s="17">
        <v>8</v>
      </c>
      <c r="D196" s="22" t="s">
        <v>213</v>
      </c>
      <c r="E196" s="90">
        <v>10.239778837470297</v>
      </c>
      <c r="F196" s="5">
        <v>10062.030000000001</v>
      </c>
      <c r="G196" s="5">
        <v>0</v>
      </c>
      <c r="H196" s="5">
        <v>10062.030000000001</v>
      </c>
      <c r="I196" s="58">
        <f t="shared" si="26"/>
        <v>982.64134018013533</v>
      </c>
      <c r="J196">
        <v>273</v>
      </c>
      <c r="K196" s="128">
        <f t="shared" si="29"/>
        <v>45200</v>
      </c>
      <c r="L196" s="96">
        <f t="shared" si="30"/>
        <v>7525.8470958904118</v>
      </c>
      <c r="M196" s="96">
        <f t="shared" si="31"/>
        <v>4198.0990088159069</v>
      </c>
      <c r="N196" s="60"/>
      <c r="O196" s="60">
        <f>IFERROR(INDEX('Revised 2020 MFAM(2020 PYAs)'!U$20:U$269,MATCH(B196,'Revised 2020 MFAM(2020 PYAs)'!B$20:B$269,0)),0)</f>
        <v>-8.2701087254072263</v>
      </c>
      <c r="P196" s="60">
        <f>IFERROR(INDEX('Revised 2020 MFAM(2019 PYAs)'!AF$26:AF$274,MATCH(B196,'Revised 2020 MFAM(2019 PYAs)'!B$26:B$274,0)),0)</f>
        <v>-4.7000859778563608E-2</v>
      </c>
      <c r="Q196" s="60">
        <f t="shared" si="32"/>
        <v>-0.11760489378198637</v>
      </c>
      <c r="R196" s="60">
        <f t="shared" si="33"/>
        <v>-8.434714478967777</v>
      </c>
      <c r="S196" s="60"/>
      <c r="T196" s="108">
        <f t="shared" si="38"/>
        <v>4189.6642943369388</v>
      </c>
      <c r="U196" s="109">
        <v>0</v>
      </c>
      <c r="V196" s="110">
        <f t="shared" si="27"/>
        <v>0</v>
      </c>
      <c r="W196" s="60">
        <f t="shared" si="28"/>
        <v>4189.6642943369388</v>
      </c>
      <c r="X196" s="62"/>
      <c r="Y196" s="60">
        <f t="shared" si="34"/>
        <v>1396.5547647789797</v>
      </c>
      <c r="Z196" s="60">
        <f t="shared" si="35"/>
        <v>1396.5547647789797</v>
      </c>
      <c r="AA196" s="60">
        <f t="shared" si="36"/>
        <v>1396.5547647789797</v>
      </c>
      <c r="AB196" s="60">
        <f t="shared" si="37"/>
        <v>0</v>
      </c>
    </row>
    <row r="197" spans="2:28" x14ac:dyDescent="0.35">
      <c r="B197">
        <v>775</v>
      </c>
      <c r="C197" s="17">
        <v>8</v>
      </c>
      <c r="D197" s="22" t="s">
        <v>214</v>
      </c>
      <c r="E197" s="90">
        <v>156.27040259183838</v>
      </c>
      <c r="F197" s="5">
        <v>126293.42</v>
      </c>
      <c r="G197" s="5">
        <v>0</v>
      </c>
      <c r="H197" s="5">
        <v>126293.42</v>
      </c>
      <c r="I197" s="58">
        <f t="shared" si="26"/>
        <v>808.17235961095548</v>
      </c>
      <c r="J197">
        <v>365</v>
      </c>
      <c r="K197" s="128" t="str">
        <f t="shared" si="29"/>
        <v>-</v>
      </c>
      <c r="L197" s="96">
        <f t="shared" si="30"/>
        <v>126293.42</v>
      </c>
      <c r="M197" s="96">
        <f t="shared" si="31"/>
        <v>70449.515458730151</v>
      </c>
      <c r="N197" s="60"/>
      <c r="O197" s="60">
        <f>IFERROR(INDEX('Revised 2020 MFAM(2020 PYAs)'!U$20:U$269,MATCH(B197,'Revised 2020 MFAM(2020 PYAs)'!B$20:B$269,0)),0)</f>
        <v>-110.81148272490827</v>
      </c>
      <c r="P197" s="60">
        <f>IFERROR(INDEX('Revised 2020 MFAM(2019 PYAs)'!AF$26:AF$274,MATCH(B197,'Revised 2020 MFAM(2019 PYAs)'!B$26:B$274,0)),0)</f>
        <v>-0.56087731347361114</v>
      </c>
      <c r="Q197" s="60">
        <f t="shared" si="32"/>
        <v>-1.9735617871607196</v>
      </c>
      <c r="R197" s="60">
        <f t="shared" si="33"/>
        <v>-113.3459218255426</v>
      </c>
      <c r="S197" s="60"/>
      <c r="T197" s="108">
        <f t="shared" si="38"/>
        <v>70336.169536904607</v>
      </c>
      <c r="U197" s="109">
        <v>0</v>
      </c>
      <c r="V197" s="110">
        <f t="shared" si="27"/>
        <v>0</v>
      </c>
      <c r="W197" s="60">
        <f t="shared" si="28"/>
        <v>70336.169536904607</v>
      </c>
      <c r="X197" s="62"/>
      <c r="Y197" s="60">
        <f t="shared" si="34"/>
        <v>17584.042384226152</v>
      </c>
      <c r="Z197" s="60">
        <f t="shared" si="35"/>
        <v>17584.042384226152</v>
      </c>
      <c r="AA197" s="60">
        <f t="shared" si="36"/>
        <v>17584.042384226152</v>
      </c>
      <c r="AB197" s="60">
        <f t="shared" si="37"/>
        <v>17584.042384226152</v>
      </c>
    </row>
    <row r="198" spans="2:28" x14ac:dyDescent="0.35">
      <c r="B198">
        <v>790</v>
      </c>
      <c r="C198" s="17">
        <v>8</v>
      </c>
      <c r="D198" s="22" t="s">
        <v>215</v>
      </c>
      <c r="E198" s="90">
        <v>11.846855238351052</v>
      </c>
      <c r="F198" s="5">
        <v>10378.780000000001</v>
      </c>
      <c r="G198" s="5">
        <v>0</v>
      </c>
      <c r="H198" s="5">
        <v>10378.780000000001</v>
      </c>
      <c r="I198" s="58">
        <f t="shared" si="26"/>
        <v>876.07890796212757</v>
      </c>
      <c r="J198">
        <v>365</v>
      </c>
      <c r="K198" s="128" t="str">
        <f t="shared" si="29"/>
        <v>-</v>
      </c>
      <c r="L198" s="96">
        <f t="shared" si="30"/>
        <v>10378.780000000001</v>
      </c>
      <c r="M198" s="96">
        <f t="shared" si="31"/>
        <v>5789.533786105083</v>
      </c>
      <c r="N198" s="60"/>
      <c r="O198" s="60">
        <f>IFERROR(INDEX('Revised 2020 MFAM(2020 PYAs)'!U$20:U$269,MATCH(B198,'Revised 2020 MFAM(2020 PYAs)'!B$20:B$269,0)),0)</f>
        <v>-7.5882582938829728</v>
      </c>
      <c r="P198" s="60">
        <f>IFERROR(INDEX('Revised 2020 MFAM(2019 PYAs)'!AF$26:AF$274,MATCH(B198,'Revised 2020 MFAM(2019 PYAs)'!B$26:B$274,0)),0)</f>
        <v>-3.3962473218252853E-2</v>
      </c>
      <c r="Q198" s="60">
        <f t="shared" si="32"/>
        <v>-0.16218710052628185</v>
      </c>
      <c r="R198" s="60">
        <f t="shared" si="33"/>
        <v>-7.7844078676275075</v>
      </c>
      <c r="S198" s="60"/>
      <c r="T198" s="108">
        <f t="shared" si="38"/>
        <v>5781.7493782374559</v>
      </c>
      <c r="U198" s="109">
        <v>0</v>
      </c>
      <c r="V198" s="110">
        <f t="shared" si="27"/>
        <v>0</v>
      </c>
      <c r="W198" s="60">
        <f t="shared" si="28"/>
        <v>5781.7493782374559</v>
      </c>
      <c r="X198" s="62"/>
      <c r="Y198" s="60">
        <f t="shared" si="34"/>
        <v>1445.437344559364</v>
      </c>
      <c r="Z198" s="60">
        <f t="shared" si="35"/>
        <v>1445.437344559364</v>
      </c>
      <c r="AA198" s="60">
        <f t="shared" si="36"/>
        <v>1445.437344559364</v>
      </c>
      <c r="AB198" s="60">
        <f t="shared" si="37"/>
        <v>1445.437344559364</v>
      </c>
    </row>
    <row r="199" spans="2:28" x14ac:dyDescent="0.35">
      <c r="B199">
        <v>795</v>
      </c>
      <c r="C199" s="17">
        <v>8</v>
      </c>
      <c r="D199" s="22" t="s">
        <v>216</v>
      </c>
      <c r="E199" s="90">
        <v>246.2</v>
      </c>
      <c r="F199" s="5">
        <v>203048.71</v>
      </c>
      <c r="G199" s="5">
        <v>3172.5099999999998</v>
      </c>
      <c r="H199" s="5">
        <v>199876.19999999998</v>
      </c>
      <c r="I199" s="58">
        <f t="shared" si="26"/>
        <v>811.84484159220142</v>
      </c>
      <c r="J199">
        <v>365</v>
      </c>
      <c r="K199" s="128" t="str">
        <f t="shared" si="29"/>
        <v>-</v>
      </c>
      <c r="L199" s="96">
        <f t="shared" si="30"/>
        <v>199876.2</v>
      </c>
      <c r="M199" s="96">
        <f t="shared" si="31"/>
        <v>111495.76471784707</v>
      </c>
      <c r="N199" s="60"/>
      <c r="O199" s="60">
        <f>IFERROR(INDEX('Revised 2020 MFAM(2020 PYAs)'!U$20:U$269,MATCH(B199,'Revised 2020 MFAM(2020 PYAs)'!B$20:B$269,0)),0)</f>
        <v>-169.56629580813751</v>
      </c>
      <c r="P199" s="60">
        <f>IFERROR(INDEX('Revised 2020 MFAM(2019 PYAs)'!AF$26:AF$274,MATCH(B199,'Revised 2020 MFAM(2019 PYAs)'!B$26:B$274,0)),0)</f>
        <v>-1.2514310661936179</v>
      </c>
      <c r="Q199" s="60">
        <f t="shared" si="32"/>
        <v>-3.12342504053571</v>
      </c>
      <c r="R199" s="60">
        <f t="shared" si="33"/>
        <v>-173.94115191486685</v>
      </c>
      <c r="S199" s="60"/>
      <c r="T199" s="108">
        <f t="shared" si="38"/>
        <v>111321.82356593219</v>
      </c>
      <c r="U199" s="109">
        <v>0</v>
      </c>
      <c r="V199" s="110">
        <f t="shared" si="27"/>
        <v>0</v>
      </c>
      <c r="W199" s="60">
        <f t="shared" si="28"/>
        <v>111321.82356593219</v>
      </c>
      <c r="X199" s="62"/>
      <c r="Y199" s="60">
        <f t="shared" si="34"/>
        <v>27830.455891483049</v>
      </c>
      <c r="Z199" s="60">
        <f t="shared" si="35"/>
        <v>27830.455891483049</v>
      </c>
      <c r="AA199" s="60">
        <f t="shared" si="36"/>
        <v>27830.455891483049</v>
      </c>
      <c r="AB199" s="60">
        <f t="shared" si="37"/>
        <v>27830.455891483049</v>
      </c>
    </row>
    <row r="200" spans="2:28" x14ac:dyDescent="0.35">
      <c r="B200" s="18">
        <v>796</v>
      </c>
      <c r="C200" s="17">
        <v>8</v>
      </c>
      <c r="D200" s="22" t="s">
        <v>217</v>
      </c>
      <c r="E200" s="90">
        <v>36</v>
      </c>
      <c r="F200" s="5">
        <v>25689.16</v>
      </c>
      <c r="G200" s="5">
        <v>0</v>
      </c>
      <c r="H200" s="5">
        <v>25689.16</v>
      </c>
      <c r="I200" s="58">
        <f t="shared" si="26"/>
        <v>713.58777777777777</v>
      </c>
      <c r="J200">
        <v>365</v>
      </c>
      <c r="K200" s="128" t="str">
        <f t="shared" si="29"/>
        <v>-</v>
      </c>
      <c r="L200" s="96">
        <f t="shared" si="30"/>
        <v>25689.16</v>
      </c>
      <c r="M200" s="96">
        <f t="shared" si="31"/>
        <v>14330.032986214106</v>
      </c>
      <c r="N200" s="60"/>
      <c r="O200" s="60">
        <f>IFERROR(INDEX('Revised 2020 MFAM(2020 PYAs)'!U$20:U$269,MATCH(B200,'Revised 2020 MFAM(2020 PYAs)'!B$20:B$269,0)),0)</f>
        <v>-21.114242977249887</v>
      </c>
      <c r="P200" s="60">
        <f>IFERROR(INDEX('Revised 2020 MFAM(2019 PYAs)'!AF$26:AF$274,MATCH(B200,'Revised 2020 MFAM(2019 PYAs)'!B$26:B$274,0)),0)</f>
        <v>-9.882357063361269E-2</v>
      </c>
      <c r="Q200" s="60">
        <f t="shared" si="32"/>
        <v>-0.40143931901010899</v>
      </c>
      <c r="R200" s="60">
        <f t="shared" si="33"/>
        <v>-21.614505866893609</v>
      </c>
      <c r="S200" s="60"/>
      <c r="T200" s="108">
        <f t="shared" si="38"/>
        <v>14308.418480347213</v>
      </c>
      <c r="U200" s="109">
        <v>0</v>
      </c>
      <c r="V200" s="110">
        <f t="shared" si="27"/>
        <v>0</v>
      </c>
      <c r="W200" s="60">
        <f t="shared" si="28"/>
        <v>14308.418480347213</v>
      </c>
      <c r="X200" s="62"/>
      <c r="Y200" s="60">
        <f t="shared" si="34"/>
        <v>3577.1046200868032</v>
      </c>
      <c r="Z200" s="60">
        <f t="shared" si="35"/>
        <v>3577.1046200868032</v>
      </c>
      <c r="AA200" s="60">
        <f t="shared" si="36"/>
        <v>3577.1046200868032</v>
      </c>
      <c r="AB200" s="60">
        <f t="shared" si="37"/>
        <v>3577.1046200868032</v>
      </c>
    </row>
    <row r="201" spans="2:28" x14ac:dyDescent="0.35">
      <c r="B201">
        <v>797</v>
      </c>
      <c r="C201" s="17">
        <v>8</v>
      </c>
      <c r="D201" s="22" t="s">
        <v>218</v>
      </c>
      <c r="E201" s="90">
        <v>15.956988688391212</v>
      </c>
      <c r="F201" s="5">
        <v>26562.639999999999</v>
      </c>
      <c r="G201" s="5">
        <v>0</v>
      </c>
      <c r="H201" s="5">
        <v>26562.639999999999</v>
      </c>
      <c r="I201" s="58">
        <f t="shared" si="26"/>
        <v>1664.6398965817687</v>
      </c>
      <c r="J201">
        <v>365</v>
      </c>
      <c r="K201" s="128" t="str">
        <f t="shared" si="29"/>
        <v>-</v>
      </c>
      <c r="L201" s="96">
        <f t="shared" si="30"/>
        <v>26562.639999999999</v>
      </c>
      <c r="M201" s="96">
        <f t="shared" si="31"/>
        <v>14817.281195684494</v>
      </c>
      <c r="N201" s="60"/>
      <c r="O201" s="60">
        <f>IFERROR(INDEX('Revised 2020 MFAM(2020 PYAs)'!U$20:U$269,MATCH(B201,'Revised 2020 MFAM(2020 PYAs)'!B$20:B$269,0)),0)</f>
        <v>-34.833952448414493</v>
      </c>
      <c r="P201" s="60">
        <f>IFERROR(INDEX('Revised 2020 MFAM(2019 PYAs)'!AF$26:AF$274,MATCH(B201,'Revised 2020 MFAM(2019 PYAs)'!B$26:B$274,0)),0)</f>
        <v>-0.15620941194902116</v>
      </c>
      <c r="Q201" s="60">
        <f t="shared" si="32"/>
        <v>-0.4150890146937728</v>
      </c>
      <c r="R201" s="60">
        <f t="shared" si="33"/>
        <v>-35.405250875057284</v>
      </c>
      <c r="S201" s="60"/>
      <c r="T201" s="108">
        <f t="shared" si="38"/>
        <v>14781.875944809437</v>
      </c>
      <c r="U201" s="109">
        <v>0</v>
      </c>
      <c r="V201" s="110">
        <f t="shared" si="27"/>
        <v>0</v>
      </c>
      <c r="W201" s="60">
        <f t="shared" si="28"/>
        <v>14781.875944809437</v>
      </c>
      <c r="X201" s="62"/>
      <c r="Y201" s="60">
        <f t="shared" si="34"/>
        <v>3695.4689862023592</v>
      </c>
      <c r="Z201" s="60">
        <f t="shared" si="35"/>
        <v>3695.4689862023592</v>
      </c>
      <c r="AA201" s="60">
        <f t="shared" si="36"/>
        <v>3695.4689862023592</v>
      </c>
      <c r="AB201" s="60">
        <f t="shared" si="37"/>
        <v>3695.4689862023592</v>
      </c>
    </row>
    <row r="202" spans="2:28" x14ac:dyDescent="0.35">
      <c r="B202">
        <v>801</v>
      </c>
      <c r="C202" s="17">
        <v>8</v>
      </c>
      <c r="D202" s="22" t="s">
        <v>219</v>
      </c>
      <c r="E202" s="90">
        <v>84.040873190713398</v>
      </c>
      <c r="F202" s="5">
        <v>112734.54</v>
      </c>
      <c r="G202" s="5">
        <v>0</v>
      </c>
      <c r="H202" s="5">
        <v>112734.54</v>
      </c>
      <c r="I202" s="58">
        <f t="shared" si="26"/>
        <v>1341.4251389817457</v>
      </c>
      <c r="J202">
        <v>365</v>
      </c>
      <c r="K202" s="128" t="str">
        <f t="shared" si="29"/>
        <v>-</v>
      </c>
      <c r="L202" s="96">
        <f t="shared" si="30"/>
        <v>112734.53999999998</v>
      </c>
      <c r="M202" s="96">
        <f t="shared" si="31"/>
        <v>62886.045199051798</v>
      </c>
      <c r="N202" s="60"/>
      <c r="O202" s="60">
        <f>IFERROR(INDEX('Revised 2020 MFAM(2020 PYAs)'!U$20:U$269,MATCH(B202,'Revised 2020 MFAM(2020 PYAs)'!B$20:B$269,0)),0)</f>
        <v>-94.890165423486906</v>
      </c>
      <c r="P202" s="60">
        <f>IFERROR(INDEX('Revised 2020 MFAM(2019 PYAs)'!AF$26:AF$274,MATCH(B202,'Revised 2020 MFAM(2019 PYAs)'!B$26:B$274,0)),0)</f>
        <v>-0.43952422928850865</v>
      </c>
      <c r="Q202" s="60">
        <f t="shared" si="32"/>
        <v>-1.7616799057080061</v>
      </c>
      <c r="R202" s="60">
        <f t="shared" si="33"/>
        <v>-97.091369558483422</v>
      </c>
      <c r="S202" s="60"/>
      <c r="T202" s="108">
        <f t="shared" si="38"/>
        <v>62788.953829493315</v>
      </c>
      <c r="U202" s="109">
        <v>0</v>
      </c>
      <c r="V202" s="110">
        <f t="shared" si="27"/>
        <v>0</v>
      </c>
      <c r="W202" s="60">
        <f t="shared" si="28"/>
        <v>62788.953829493315</v>
      </c>
      <c r="X202" s="62"/>
      <c r="Y202" s="60">
        <f t="shared" si="34"/>
        <v>15697.238457373329</v>
      </c>
      <c r="Z202" s="60">
        <f t="shared" si="35"/>
        <v>15697.238457373329</v>
      </c>
      <c r="AA202" s="60">
        <f t="shared" si="36"/>
        <v>15697.238457373329</v>
      </c>
      <c r="AB202" s="60">
        <f t="shared" si="37"/>
        <v>15697.238457373329</v>
      </c>
    </row>
    <row r="203" spans="2:28" x14ac:dyDescent="0.35">
      <c r="B203">
        <v>809</v>
      </c>
      <c r="C203" s="17">
        <v>8</v>
      </c>
      <c r="D203" s="22" t="s">
        <v>220</v>
      </c>
      <c r="E203" s="90">
        <v>236.78777465897463</v>
      </c>
      <c r="F203" s="5">
        <v>506675.01</v>
      </c>
      <c r="G203" s="5">
        <v>0</v>
      </c>
      <c r="H203" s="5">
        <v>506675.01</v>
      </c>
      <c r="I203" s="58">
        <f t="shared" si="26"/>
        <v>2139.7853446180702</v>
      </c>
      <c r="J203">
        <v>365</v>
      </c>
      <c r="K203" s="128" t="str">
        <f t="shared" si="29"/>
        <v>-</v>
      </c>
      <c r="L203" s="96">
        <f t="shared" si="30"/>
        <v>506675.01</v>
      </c>
      <c r="M203" s="96">
        <f t="shared" si="31"/>
        <v>282635.5399160721</v>
      </c>
      <c r="N203" s="60"/>
      <c r="O203" s="60">
        <f>IFERROR(INDEX('Revised 2020 MFAM(2020 PYAs)'!U$20:U$269,MATCH(B203,'Revised 2020 MFAM(2020 PYAs)'!B$20:B$269,0)),0)</f>
        <v>-380.4492971036816</v>
      </c>
      <c r="P203" s="60">
        <f>IFERROR(INDEX('Revised 2020 MFAM(2019 PYAs)'!AF$26:AF$274,MATCH(B203,'Revised 2020 MFAM(2019 PYAs)'!B$26:B$274,0)),0)</f>
        <v>-2.2118746346677653</v>
      </c>
      <c r="Q203" s="60">
        <f t="shared" si="32"/>
        <v>-7.9177081295706113</v>
      </c>
      <c r="R203" s="60">
        <f t="shared" si="33"/>
        <v>-390.57887986791997</v>
      </c>
      <c r="S203" s="60"/>
      <c r="T203" s="108">
        <f t="shared" si="38"/>
        <v>282244.96103620419</v>
      </c>
      <c r="U203" s="109">
        <v>0</v>
      </c>
      <c r="V203" s="110">
        <f t="shared" si="27"/>
        <v>0</v>
      </c>
      <c r="W203" s="60">
        <f t="shared" si="28"/>
        <v>282244.96103620419</v>
      </c>
      <c r="X203" s="62"/>
      <c r="Y203" s="60">
        <f t="shared" si="34"/>
        <v>70561.240259051046</v>
      </c>
      <c r="Z203" s="60">
        <f t="shared" si="35"/>
        <v>70561.240259051046</v>
      </c>
      <c r="AA203" s="60">
        <f t="shared" si="36"/>
        <v>70561.240259051046</v>
      </c>
      <c r="AB203" s="60">
        <f t="shared" si="37"/>
        <v>70561.240259051046</v>
      </c>
    </row>
    <row r="204" spans="2:28" x14ac:dyDescent="0.35">
      <c r="B204">
        <v>810</v>
      </c>
      <c r="C204" s="17">
        <v>8</v>
      </c>
      <c r="D204" s="22" t="s">
        <v>221</v>
      </c>
      <c r="E204" s="90">
        <v>152.70999999999998</v>
      </c>
      <c r="F204" s="5">
        <v>170954.99</v>
      </c>
      <c r="G204" s="5">
        <v>0</v>
      </c>
      <c r="H204" s="5">
        <v>170954.99</v>
      </c>
      <c r="I204" s="58">
        <f t="shared" si="26"/>
        <v>1119.4747560736037</v>
      </c>
      <c r="J204">
        <v>365</v>
      </c>
      <c r="K204" s="128" t="str">
        <f t="shared" si="29"/>
        <v>-</v>
      </c>
      <c r="L204" s="96">
        <f t="shared" si="30"/>
        <v>170954.99</v>
      </c>
      <c r="M204" s="96">
        <f t="shared" si="31"/>
        <v>95362.816295196215</v>
      </c>
      <c r="N204" s="60"/>
      <c r="O204" s="60">
        <f>IFERROR(INDEX('Revised 2020 MFAM(2020 PYAs)'!U$20:U$269,MATCH(B204,'Revised 2020 MFAM(2020 PYAs)'!B$20:B$269,0)),0)</f>
        <v>-132.24774281973077</v>
      </c>
      <c r="P204" s="60">
        <f>IFERROR(INDEX('Revised 2020 MFAM(2019 PYAs)'!AF$26:AF$274,MATCH(B204,'Revised 2020 MFAM(2019 PYAs)'!B$26:B$274,0)),0)</f>
        <v>-0.6473725184405339</v>
      </c>
      <c r="Q204" s="60">
        <f t="shared" si="32"/>
        <v>-2.6714791284331598</v>
      </c>
      <c r="R204" s="60">
        <f t="shared" si="33"/>
        <v>-135.56659446660447</v>
      </c>
      <c r="S204" s="60"/>
      <c r="T204" s="108">
        <f t="shared" si="38"/>
        <v>95227.249700729604</v>
      </c>
      <c r="U204" s="109">
        <v>0</v>
      </c>
      <c r="V204" s="110">
        <f t="shared" si="27"/>
        <v>0</v>
      </c>
      <c r="W204" s="60">
        <f t="shared" si="28"/>
        <v>95227.249700729604</v>
      </c>
      <c r="X204" s="62"/>
      <c r="Y204" s="60">
        <f t="shared" si="34"/>
        <v>23806.812425182401</v>
      </c>
      <c r="Z204" s="60">
        <f t="shared" si="35"/>
        <v>23806.812425182401</v>
      </c>
      <c r="AA204" s="60">
        <f t="shared" si="36"/>
        <v>23806.812425182401</v>
      </c>
      <c r="AB204" s="60">
        <f t="shared" si="37"/>
        <v>23806.812425182401</v>
      </c>
    </row>
    <row r="205" spans="2:28" x14ac:dyDescent="0.35">
      <c r="B205">
        <v>812</v>
      </c>
      <c r="C205" s="17">
        <v>8</v>
      </c>
      <c r="D205" s="22" t="s">
        <v>222</v>
      </c>
      <c r="E205" s="90">
        <v>45.965229448200006</v>
      </c>
      <c r="F205" s="5">
        <v>86772.52</v>
      </c>
      <c r="G205" s="5">
        <v>290.5</v>
      </c>
      <c r="H205" s="5">
        <v>86482.02</v>
      </c>
      <c r="I205" s="58">
        <f t="shared" ref="I205:I258" si="39">IFERROR(H205/E205,"n.a.")</f>
        <v>1881.4660785596629</v>
      </c>
      <c r="J205">
        <v>365</v>
      </c>
      <c r="K205" s="128" t="str">
        <f t="shared" si="29"/>
        <v>-</v>
      </c>
      <c r="L205" s="96">
        <f t="shared" si="30"/>
        <v>86482.02</v>
      </c>
      <c r="M205" s="96">
        <f t="shared" si="31"/>
        <v>48241.756418443743</v>
      </c>
      <c r="N205" s="60"/>
      <c r="O205" s="60">
        <f>IFERROR(INDEX('Revised 2020 MFAM(2020 PYAs)'!U$20:U$269,MATCH(B205,'Revised 2020 MFAM(2020 PYAs)'!B$20:B$269,0)),0)</f>
        <v>-71.376940536465554</v>
      </c>
      <c r="P205" s="60">
        <f>IFERROR(INDEX('Revised 2020 MFAM(2019 PYAs)'!AF$26:AF$274,MATCH(B205,'Revised 2020 MFAM(2019 PYAs)'!B$26:B$274,0)),0)</f>
        <v>-0.3532247941911919</v>
      </c>
      <c r="Q205" s="60">
        <f t="shared" si="32"/>
        <v>-1.3514370736691519</v>
      </c>
      <c r="R205" s="60">
        <f t="shared" si="33"/>
        <v>-73.081602404325892</v>
      </c>
      <c r="S205" s="60"/>
      <c r="T205" s="108">
        <f t="shared" si="38"/>
        <v>48168.67481603942</v>
      </c>
      <c r="U205" s="109">
        <v>0</v>
      </c>
      <c r="V205" s="110">
        <f t="shared" ref="V205:V258" si="40">-$U$11*U205*T205</f>
        <v>0</v>
      </c>
      <c r="W205" s="60">
        <f t="shared" ref="W205:W258" si="41">T205+V205</f>
        <v>48168.67481603942</v>
      </c>
      <c r="X205" s="62"/>
      <c r="Y205" s="60">
        <f t="shared" si="34"/>
        <v>12042.168704009855</v>
      </c>
      <c r="Z205" s="60">
        <f t="shared" si="35"/>
        <v>12042.168704009855</v>
      </c>
      <c r="AA205" s="60">
        <f t="shared" si="36"/>
        <v>12042.168704009855</v>
      </c>
      <c r="AB205" s="60">
        <f t="shared" si="37"/>
        <v>12042.168704009855</v>
      </c>
    </row>
    <row r="206" spans="2:28" x14ac:dyDescent="0.35">
      <c r="B206">
        <v>818</v>
      </c>
      <c r="C206" s="17">
        <v>8</v>
      </c>
      <c r="D206" s="22" t="s">
        <v>223</v>
      </c>
      <c r="E206" s="90">
        <v>31.421003016907989</v>
      </c>
      <c r="F206" s="5">
        <v>21179.55</v>
      </c>
      <c r="G206" s="5">
        <v>0</v>
      </c>
      <c r="H206" s="5">
        <v>21179.55</v>
      </c>
      <c r="I206" s="58">
        <f t="shared" si="39"/>
        <v>674.05709450468692</v>
      </c>
      <c r="J206">
        <v>365</v>
      </c>
      <c r="K206" s="128" t="str">
        <f t="shared" ref="K206:K258" si="42">IF(J206=365,"-",J206+$Y$9)</f>
        <v>-</v>
      </c>
      <c r="L206" s="96">
        <f t="shared" ref="L206:L258" si="43">H206*J206/365</f>
        <v>21179.55</v>
      </c>
      <c r="M206" s="96">
        <f t="shared" ref="M206:M258" si="44">L206*(E$8/L$11)</f>
        <v>11814.463771223776</v>
      </c>
      <c r="N206" s="60"/>
      <c r="O206" s="60">
        <f>IFERROR(INDEX('Revised 2020 MFAM(2020 PYAs)'!U$20:U$269,MATCH(B206,'Revised 2020 MFAM(2020 PYAs)'!B$20:B$269,0)),0)</f>
        <v>-15.83652880286354</v>
      </c>
      <c r="P206" s="60">
        <f>IFERROR(INDEX('Revised 2020 MFAM(2019 PYAs)'!AF$26:AF$274,MATCH(B206,'Revised 2020 MFAM(2019 PYAs)'!B$26:B$274,0)),0)</f>
        <v>-6.6495753311755834E-2</v>
      </c>
      <c r="Q206" s="60">
        <f t="shared" ref="Q206:Q258" si="45">-Q$9*(M206/E$8)</f>
        <v>-0.33096855362108196</v>
      </c>
      <c r="R206" s="60">
        <f t="shared" ref="R206:R258" si="46">SUM(O206:Q206)</f>
        <v>-16.23399310979638</v>
      </c>
      <c r="S206" s="60"/>
      <c r="T206" s="108">
        <f t="shared" si="38"/>
        <v>11798.229778113981</v>
      </c>
      <c r="U206" s="109">
        <v>0</v>
      </c>
      <c r="V206" s="110">
        <f t="shared" si="40"/>
        <v>0</v>
      </c>
      <c r="W206" s="60">
        <f t="shared" si="41"/>
        <v>11798.229778113981</v>
      </c>
      <c r="X206" s="62"/>
      <c r="Y206" s="60">
        <f t="shared" ref="Y206:Y258" si="47">IF(J206&gt;AB$10,W206/4,
IF(J206&gt;AA$10,W206/3,
IF(J206&gt;Z$10,W206/2,
W206)))</f>
        <v>2949.5574445284951</v>
      </c>
      <c r="Z206" s="60">
        <f t="shared" ref="Z206:Z258" si="48">IF(J206&gt;AB$10,W206/4,
IF(J206&gt;AA$10,W206/3,
IF(J206&gt;Z$10,W206/2,0)))</f>
        <v>2949.5574445284951</v>
      </c>
      <c r="AA206" s="60">
        <f t="shared" ref="AA206:AA258" si="49">IF(J206&gt;AB$10,W206/4,
IF(J206&gt;AA$10,W206/3,0))</f>
        <v>2949.5574445284951</v>
      </c>
      <c r="AB206" s="60">
        <f t="shared" ref="AB206:AB258" si="50">IF(J206&gt;AB$10,W206/4,0)</f>
        <v>2949.5574445284951</v>
      </c>
    </row>
    <row r="207" spans="2:28" x14ac:dyDescent="0.35">
      <c r="B207">
        <v>833</v>
      </c>
      <c r="C207" s="17">
        <v>8</v>
      </c>
      <c r="D207" s="22" t="s">
        <v>224</v>
      </c>
      <c r="E207" s="90">
        <v>53.628922211488863</v>
      </c>
      <c r="F207" s="5">
        <v>40926.660000000003</v>
      </c>
      <c r="G207" s="5">
        <v>0</v>
      </c>
      <c r="H207" s="5">
        <v>40926.660000000003</v>
      </c>
      <c r="I207" s="58">
        <f t="shared" si="39"/>
        <v>763.14530130967898</v>
      </c>
      <c r="J207">
        <v>365</v>
      </c>
      <c r="K207" s="128" t="str">
        <f t="shared" si="42"/>
        <v>-</v>
      </c>
      <c r="L207" s="96">
        <f t="shared" si="43"/>
        <v>40926.660000000003</v>
      </c>
      <c r="M207" s="96">
        <f t="shared" si="44"/>
        <v>22829.877964696763</v>
      </c>
      <c r="N207" s="60"/>
      <c r="O207" s="60">
        <f>IFERROR(INDEX('Revised 2020 MFAM(2020 PYAs)'!U$20:U$269,MATCH(B207,'Revised 2020 MFAM(2020 PYAs)'!B$20:B$269,0)),0)</f>
        <v>-32.946512470894959</v>
      </c>
      <c r="P207" s="60">
        <f>IFERROR(INDEX('Revised 2020 MFAM(2019 PYAs)'!AF$26:AF$274,MATCH(B207,'Revised 2020 MFAM(2019 PYAs)'!B$26:B$274,0)),0)</f>
        <v>-0.1576543788996787</v>
      </c>
      <c r="Q207" s="60">
        <f t="shared" si="45"/>
        <v>-0.6395526564417936</v>
      </c>
      <c r="R207" s="60">
        <f t="shared" si="46"/>
        <v>-33.743719506236431</v>
      </c>
      <c r="S207" s="60"/>
      <c r="T207" s="108">
        <f t="shared" si="38"/>
        <v>22796.134245190526</v>
      </c>
      <c r="U207" s="109">
        <v>0</v>
      </c>
      <c r="V207" s="110">
        <f t="shared" si="40"/>
        <v>0</v>
      </c>
      <c r="W207" s="60">
        <f t="shared" si="41"/>
        <v>22796.134245190526</v>
      </c>
      <c r="X207" s="62"/>
      <c r="Y207" s="60">
        <f t="shared" si="47"/>
        <v>5699.0335612976314</v>
      </c>
      <c r="Z207" s="60">
        <f t="shared" si="48"/>
        <v>5699.0335612976314</v>
      </c>
      <c r="AA207" s="60">
        <f t="shared" si="49"/>
        <v>5699.0335612976314</v>
      </c>
      <c r="AB207" s="60">
        <f t="shared" si="50"/>
        <v>5699.0335612976314</v>
      </c>
    </row>
    <row r="208" spans="2:28" x14ac:dyDescent="0.35">
      <c r="B208">
        <v>834</v>
      </c>
      <c r="C208" s="17">
        <v>8</v>
      </c>
      <c r="D208" s="22" t="s">
        <v>225</v>
      </c>
      <c r="E208" s="90">
        <v>85.160000000000011</v>
      </c>
      <c r="F208" s="5">
        <v>62873.19</v>
      </c>
      <c r="G208" s="5">
        <v>5392.8</v>
      </c>
      <c r="H208" s="5">
        <v>57480.39</v>
      </c>
      <c r="I208" s="58">
        <f t="shared" si="39"/>
        <v>674.96935180836067</v>
      </c>
      <c r="J208">
        <v>365</v>
      </c>
      <c r="K208" s="128" t="str">
        <f t="shared" si="42"/>
        <v>-</v>
      </c>
      <c r="L208" s="96">
        <f t="shared" si="43"/>
        <v>57480.390000000007</v>
      </c>
      <c r="M208" s="96">
        <f t="shared" si="44"/>
        <v>32063.947780326471</v>
      </c>
      <c r="N208" s="60"/>
      <c r="O208" s="60">
        <f>IFERROR(INDEX('Revised 2020 MFAM(2020 PYAs)'!U$20:U$269,MATCH(B208,'Revised 2020 MFAM(2020 PYAs)'!B$20:B$269,0)),0)</f>
        <v>-48.214466829733283</v>
      </c>
      <c r="P208" s="60">
        <f>IFERROR(INDEX('Revised 2020 MFAM(2019 PYAs)'!AF$26:AF$274,MATCH(B208,'Revised 2020 MFAM(2019 PYAs)'!B$26:B$274,0)),0)</f>
        <v>-0.238836458986043</v>
      </c>
      <c r="Q208" s="60">
        <f t="shared" si="45"/>
        <v>-0.89823445445610051</v>
      </c>
      <c r="R208" s="60">
        <f t="shared" si="46"/>
        <v>-49.351537743175427</v>
      </c>
      <c r="S208" s="60"/>
      <c r="T208" s="108">
        <f t="shared" ref="T208:T258" si="51">M208+R208</f>
        <v>32014.596242583295</v>
      </c>
      <c r="U208" s="109">
        <v>0</v>
      </c>
      <c r="V208" s="110">
        <f t="shared" si="40"/>
        <v>0</v>
      </c>
      <c r="W208" s="60">
        <f t="shared" si="41"/>
        <v>32014.596242583295</v>
      </c>
      <c r="X208" s="62"/>
      <c r="Y208" s="60">
        <f t="shared" si="47"/>
        <v>8003.6490606458237</v>
      </c>
      <c r="Z208" s="60">
        <f t="shared" si="48"/>
        <v>8003.6490606458237</v>
      </c>
      <c r="AA208" s="60">
        <f t="shared" si="49"/>
        <v>8003.6490606458237</v>
      </c>
      <c r="AB208" s="60">
        <f t="shared" si="50"/>
        <v>8003.6490606458237</v>
      </c>
    </row>
    <row r="209" spans="2:28" x14ac:dyDescent="0.35">
      <c r="B209">
        <v>837</v>
      </c>
      <c r="C209" s="17">
        <v>8</v>
      </c>
      <c r="D209" s="22" t="s">
        <v>226</v>
      </c>
      <c r="E209" s="90">
        <v>188.92000000000004</v>
      </c>
      <c r="F209" s="5">
        <v>140220.71</v>
      </c>
      <c r="G209" s="5">
        <v>0</v>
      </c>
      <c r="H209" s="5">
        <v>140220.71</v>
      </c>
      <c r="I209" s="58">
        <f t="shared" si="39"/>
        <v>742.22268685157712</v>
      </c>
      <c r="J209">
        <v>365</v>
      </c>
      <c r="K209" s="128" t="str">
        <f t="shared" si="42"/>
        <v>-</v>
      </c>
      <c r="L209" s="96">
        <f t="shared" si="43"/>
        <v>140220.71</v>
      </c>
      <c r="M209" s="96">
        <f t="shared" si="44"/>
        <v>78218.493701248386</v>
      </c>
      <c r="N209" s="60"/>
      <c r="O209" s="60">
        <f>IFERROR(INDEX('Revised 2020 MFAM(2020 PYAs)'!U$20:U$269,MATCH(B209,'Revised 2020 MFAM(2020 PYAs)'!B$20:B$269,0)),0)</f>
        <v>-135.56390516205283</v>
      </c>
      <c r="P209" s="60">
        <f>IFERROR(INDEX('Revised 2020 MFAM(2019 PYAs)'!AF$26:AF$274,MATCH(B209,'Revised 2020 MFAM(2019 PYAs)'!B$26:B$274,0)),0)</f>
        <v>-0.64010344596317736</v>
      </c>
      <c r="Q209" s="60">
        <f t="shared" si="45"/>
        <v>-2.1912007373348903</v>
      </c>
      <c r="R209" s="60">
        <f t="shared" si="46"/>
        <v>-138.39520934535091</v>
      </c>
      <c r="S209" s="60"/>
      <c r="T209" s="108">
        <f t="shared" si="51"/>
        <v>78080.098491903031</v>
      </c>
      <c r="U209" s="109">
        <v>0</v>
      </c>
      <c r="V209" s="110">
        <f t="shared" si="40"/>
        <v>0</v>
      </c>
      <c r="W209" s="60">
        <f t="shared" si="41"/>
        <v>78080.098491903031</v>
      </c>
      <c r="X209" s="62"/>
      <c r="Y209" s="60">
        <f t="shared" si="47"/>
        <v>19520.024622975758</v>
      </c>
      <c r="Z209" s="60">
        <f t="shared" si="48"/>
        <v>19520.024622975758</v>
      </c>
      <c r="AA209" s="60">
        <f t="shared" si="49"/>
        <v>19520.024622975758</v>
      </c>
      <c r="AB209" s="60">
        <f t="shared" si="50"/>
        <v>19520.024622975758</v>
      </c>
    </row>
    <row r="210" spans="2:28" x14ac:dyDescent="0.35">
      <c r="B210">
        <v>847</v>
      </c>
      <c r="C210" s="17">
        <v>8</v>
      </c>
      <c r="D210" s="22" t="s">
        <v>227</v>
      </c>
      <c r="E210" s="90">
        <v>76.415949532044607</v>
      </c>
      <c r="F210" s="5">
        <v>121978.52</v>
      </c>
      <c r="G210" s="5">
        <v>0</v>
      </c>
      <c r="H210" s="5">
        <v>121978.52</v>
      </c>
      <c r="I210" s="58">
        <f t="shared" si="39"/>
        <v>1596.2442493611754</v>
      </c>
      <c r="J210">
        <v>365</v>
      </c>
      <c r="K210" s="128" t="str">
        <f t="shared" si="42"/>
        <v>-</v>
      </c>
      <c r="L210" s="96">
        <f t="shared" si="43"/>
        <v>121978.52000000002</v>
      </c>
      <c r="M210" s="96">
        <f t="shared" si="44"/>
        <v>68042.560177505904</v>
      </c>
      <c r="N210" s="60"/>
      <c r="O210" s="60">
        <f>IFERROR(INDEX('Revised 2020 MFAM(2020 PYAs)'!U$20:U$269,MATCH(B210,'Revised 2020 MFAM(2020 PYAs)'!B$20:B$269,0)),0)</f>
        <v>0</v>
      </c>
      <c r="P210" s="60">
        <f>IFERROR(INDEX('Revised 2020 MFAM(2019 PYAs)'!AF$26:AF$274,MATCH(B210,'Revised 2020 MFAM(2019 PYAs)'!B$26:B$274,0)),0)</f>
        <v>-0.49924557846679818</v>
      </c>
      <c r="Q210" s="60">
        <f t="shared" si="45"/>
        <v>-1.9061337156474156</v>
      </c>
      <c r="R210" s="60">
        <f t="shared" si="46"/>
        <v>-2.4053792941142138</v>
      </c>
      <c r="S210" s="60"/>
      <c r="T210" s="108">
        <f t="shared" si="51"/>
        <v>68040.154798211792</v>
      </c>
      <c r="U210" s="109">
        <v>0</v>
      </c>
      <c r="V210" s="110">
        <f t="shared" si="40"/>
        <v>0</v>
      </c>
      <c r="W210" s="60">
        <f t="shared" si="41"/>
        <v>68040.154798211792</v>
      </c>
      <c r="X210" s="62"/>
      <c r="Y210" s="60">
        <f t="shared" si="47"/>
        <v>17010.038699552948</v>
      </c>
      <c r="Z210" s="60">
        <f t="shared" si="48"/>
        <v>17010.038699552948</v>
      </c>
      <c r="AA210" s="60">
        <f t="shared" si="49"/>
        <v>17010.038699552948</v>
      </c>
      <c r="AB210" s="60">
        <f t="shared" si="50"/>
        <v>17010.038699552948</v>
      </c>
    </row>
    <row r="211" spans="2:28" x14ac:dyDescent="0.35">
      <c r="B211">
        <v>866</v>
      </c>
      <c r="C211" s="17">
        <v>8</v>
      </c>
      <c r="D211" s="22" t="s">
        <v>228</v>
      </c>
      <c r="E211" s="90">
        <v>76.755675535871106</v>
      </c>
      <c r="F211" s="5">
        <v>54931.66</v>
      </c>
      <c r="G211" s="5">
        <v>0</v>
      </c>
      <c r="H211" s="5">
        <v>54931.66</v>
      </c>
      <c r="I211" s="58">
        <f t="shared" si="39"/>
        <v>715.66903185326225</v>
      </c>
      <c r="J211">
        <v>365</v>
      </c>
      <c r="K211" s="128" t="str">
        <f t="shared" si="42"/>
        <v>-</v>
      </c>
      <c r="L211" s="96">
        <f t="shared" si="43"/>
        <v>54931.66</v>
      </c>
      <c r="M211" s="96">
        <f t="shared" si="44"/>
        <v>30642.20471932512</v>
      </c>
      <c r="N211" s="60"/>
      <c r="O211" s="60">
        <f>IFERROR(INDEX('Revised 2020 MFAM(2020 PYAs)'!U$20:U$269,MATCH(B211,'Revised 2020 MFAM(2020 PYAs)'!B$20:B$269,0)),0)</f>
        <v>-42.559297536347003</v>
      </c>
      <c r="P211" s="60">
        <f>IFERROR(INDEX('Revised 2020 MFAM(2019 PYAs)'!AF$26:AF$274,MATCH(B211,'Revised 2020 MFAM(2019 PYAs)'!B$26:B$274,0)),0)</f>
        <v>-0.26175516239163699</v>
      </c>
      <c r="Q211" s="60">
        <f t="shared" si="45"/>
        <v>-0.85840596510336831</v>
      </c>
      <c r="R211" s="60">
        <f t="shared" si="46"/>
        <v>-43.679458663842006</v>
      </c>
      <c r="S211" s="60"/>
      <c r="T211" s="108">
        <f t="shared" si="51"/>
        <v>30598.525260661278</v>
      </c>
      <c r="U211" s="109">
        <v>0</v>
      </c>
      <c r="V211" s="110">
        <f t="shared" si="40"/>
        <v>0</v>
      </c>
      <c r="W211" s="60">
        <f t="shared" si="41"/>
        <v>30598.525260661278</v>
      </c>
      <c r="X211" s="62"/>
      <c r="Y211" s="60">
        <f t="shared" si="47"/>
        <v>7649.6313151653194</v>
      </c>
      <c r="Z211" s="60">
        <f t="shared" si="48"/>
        <v>7649.6313151653194</v>
      </c>
      <c r="AA211" s="60">
        <f t="shared" si="49"/>
        <v>7649.6313151653194</v>
      </c>
      <c r="AB211" s="60">
        <f t="shared" si="50"/>
        <v>7649.6313151653194</v>
      </c>
    </row>
    <row r="212" spans="2:28" x14ac:dyDescent="0.35">
      <c r="B212">
        <v>871</v>
      </c>
      <c r="C212" s="17">
        <v>8</v>
      </c>
      <c r="D212" s="22" t="s">
        <v>229</v>
      </c>
      <c r="E212" s="90">
        <v>16.759038191090269</v>
      </c>
      <c r="F212" s="5">
        <v>15368.28</v>
      </c>
      <c r="G212" s="5">
        <v>0</v>
      </c>
      <c r="H212" s="5">
        <v>15368.28</v>
      </c>
      <c r="I212" s="58">
        <f t="shared" si="39"/>
        <v>917.01443870271464</v>
      </c>
      <c r="J212">
        <v>365</v>
      </c>
      <c r="K212" s="128" t="str">
        <f t="shared" si="42"/>
        <v>-</v>
      </c>
      <c r="L212" s="96">
        <f t="shared" si="43"/>
        <v>15368.28</v>
      </c>
      <c r="M212" s="96">
        <f t="shared" si="44"/>
        <v>8572.7972164669663</v>
      </c>
      <c r="N212" s="60"/>
      <c r="O212" s="60">
        <f>IFERROR(INDEX('Revised 2020 MFAM(2020 PYAs)'!U$20:U$269,MATCH(B212,'Revised 2020 MFAM(2020 PYAs)'!B$20:B$269,0)),0)</f>
        <v>-12.743729414857626</v>
      </c>
      <c r="P212" s="60">
        <f>IFERROR(INDEX('Revised 2020 MFAM(2019 PYAs)'!AF$26:AF$274,MATCH(B212,'Revised 2020 MFAM(2019 PYAs)'!B$26:B$274,0)),0)</f>
        <v>-5.1001203641590109E-2</v>
      </c>
      <c r="Q212" s="60">
        <f t="shared" si="45"/>
        <v>-0.24015701009907203</v>
      </c>
      <c r="R212" s="60">
        <f t="shared" si="46"/>
        <v>-13.034887628598288</v>
      </c>
      <c r="S212" s="60"/>
      <c r="T212" s="108">
        <f t="shared" si="51"/>
        <v>8559.7623288383675</v>
      </c>
      <c r="U212" s="109">
        <v>0</v>
      </c>
      <c r="V212" s="110">
        <f t="shared" si="40"/>
        <v>0</v>
      </c>
      <c r="W212" s="60">
        <f t="shared" si="41"/>
        <v>8559.7623288383675</v>
      </c>
      <c r="X212" s="62"/>
      <c r="Y212" s="60">
        <f t="shared" si="47"/>
        <v>2139.9405822095919</v>
      </c>
      <c r="Z212" s="60">
        <f t="shared" si="48"/>
        <v>2139.9405822095919</v>
      </c>
      <c r="AA212" s="60">
        <f t="shared" si="49"/>
        <v>2139.9405822095919</v>
      </c>
      <c r="AB212" s="60">
        <f t="shared" si="50"/>
        <v>2139.9405822095919</v>
      </c>
    </row>
    <row r="213" spans="2:28" x14ac:dyDescent="0.35">
      <c r="B213">
        <v>873</v>
      </c>
      <c r="C213" s="17">
        <v>8</v>
      </c>
      <c r="D213" s="22" t="s">
        <v>230</v>
      </c>
      <c r="E213" s="90">
        <v>142.78</v>
      </c>
      <c r="F213" s="5">
        <v>113823.89</v>
      </c>
      <c r="G213" s="5">
        <v>0</v>
      </c>
      <c r="H213" s="5">
        <v>113823.89</v>
      </c>
      <c r="I213" s="58">
        <f t="shared" si="39"/>
        <v>797.1977167670542</v>
      </c>
      <c r="J213">
        <v>365</v>
      </c>
      <c r="K213" s="128" t="str">
        <f t="shared" si="42"/>
        <v>-</v>
      </c>
      <c r="L213" s="96">
        <f t="shared" si="43"/>
        <v>113823.89</v>
      </c>
      <c r="M213" s="96">
        <f t="shared" si="44"/>
        <v>63493.710900597995</v>
      </c>
      <c r="N213" s="60"/>
      <c r="O213" s="60">
        <f>IFERROR(INDEX('Revised 2020 MFAM(2020 PYAs)'!U$20:U$269,MATCH(B213,'Revised 2020 MFAM(2020 PYAs)'!B$20:B$269,0)),0)</f>
        <v>-77.11803256773419</v>
      </c>
      <c r="P213" s="60">
        <f>IFERROR(INDEX('Revised 2020 MFAM(2019 PYAs)'!AF$26:AF$274,MATCH(B213,'Revised 2020 MFAM(2019 PYAs)'!B$26:B$274,0)),0)</f>
        <v>-0.33267789488309063</v>
      </c>
      <c r="Q213" s="60">
        <f t="shared" si="45"/>
        <v>-1.7787029583171092</v>
      </c>
      <c r="R213" s="60">
        <f t="shared" si="46"/>
        <v>-79.229413420934392</v>
      </c>
      <c r="S213" s="60"/>
      <c r="T213" s="108">
        <f t="shared" si="51"/>
        <v>63414.481487177058</v>
      </c>
      <c r="U213" s="109">
        <v>0</v>
      </c>
      <c r="V213" s="110">
        <f t="shared" si="40"/>
        <v>0</v>
      </c>
      <c r="W213" s="60">
        <f t="shared" si="41"/>
        <v>63414.481487177058</v>
      </c>
      <c r="X213" s="62"/>
      <c r="Y213" s="60">
        <f t="shared" si="47"/>
        <v>15853.620371794264</v>
      </c>
      <c r="Z213" s="60">
        <f t="shared" si="48"/>
        <v>15853.620371794264</v>
      </c>
      <c r="AA213" s="60">
        <f t="shared" si="49"/>
        <v>15853.620371794264</v>
      </c>
      <c r="AB213" s="60">
        <f t="shared" si="50"/>
        <v>15853.620371794264</v>
      </c>
    </row>
    <row r="214" spans="2:28" x14ac:dyDescent="0.35">
      <c r="B214">
        <v>897</v>
      </c>
      <c r="C214" s="17">
        <v>8</v>
      </c>
      <c r="D214" s="22" t="s">
        <v>231</v>
      </c>
      <c r="E214" s="90">
        <v>86.82479139271689</v>
      </c>
      <c r="F214" s="5">
        <v>448500.61</v>
      </c>
      <c r="G214" s="5">
        <v>360</v>
      </c>
      <c r="H214" s="5">
        <v>448140.61</v>
      </c>
      <c r="I214" s="58">
        <f t="shared" si="39"/>
        <v>5161.4360692560358</v>
      </c>
      <c r="J214">
        <v>273</v>
      </c>
      <c r="K214" s="128">
        <f t="shared" si="42"/>
        <v>45200</v>
      </c>
      <c r="L214" s="96">
        <f t="shared" si="43"/>
        <v>335184.62063013698</v>
      </c>
      <c r="M214" s="96">
        <f t="shared" si="44"/>
        <v>186974.06494029093</v>
      </c>
      <c r="N214" s="60"/>
      <c r="O214" s="60">
        <f>IFERROR(INDEX('Revised 2020 MFAM(2020 PYAs)'!U$20:U$269,MATCH(B214,'Revised 2020 MFAM(2020 PYAs)'!B$20:B$269,0)),0)</f>
        <v>-288.77205358725041</v>
      </c>
      <c r="P214" s="60">
        <f>IFERROR(INDEX('Revised 2020 MFAM(2019 PYAs)'!AF$26:AF$274,MATCH(B214,'Revised 2020 MFAM(2019 PYAs)'!B$26:B$274,0)),0)</f>
        <v>-0.48685900209966348</v>
      </c>
      <c r="Q214" s="60">
        <f t="shared" si="45"/>
        <v>-5.2378624232331417</v>
      </c>
      <c r="R214" s="60">
        <f t="shared" si="46"/>
        <v>-294.49677501258321</v>
      </c>
      <c r="S214" s="60"/>
      <c r="T214" s="108">
        <f t="shared" si="51"/>
        <v>186679.56816527835</v>
      </c>
      <c r="U214" s="109">
        <v>0</v>
      </c>
      <c r="V214" s="110">
        <f t="shared" si="40"/>
        <v>0</v>
      </c>
      <c r="W214" s="60">
        <f t="shared" si="41"/>
        <v>186679.56816527835</v>
      </c>
      <c r="X214" s="62"/>
      <c r="Y214" s="60">
        <f t="shared" si="47"/>
        <v>62226.522721759451</v>
      </c>
      <c r="Z214" s="60">
        <f t="shared" si="48"/>
        <v>62226.522721759451</v>
      </c>
      <c r="AA214" s="60">
        <f t="shared" si="49"/>
        <v>62226.522721759451</v>
      </c>
      <c r="AB214" s="60">
        <f t="shared" si="50"/>
        <v>0</v>
      </c>
    </row>
    <row r="215" spans="2:28" x14ac:dyDescent="0.35">
      <c r="B215">
        <v>905</v>
      </c>
      <c r="C215" s="17">
        <v>8</v>
      </c>
      <c r="D215" s="22" t="s">
        <v>232</v>
      </c>
      <c r="E215" s="90">
        <v>79.048259195566615</v>
      </c>
      <c r="F215" s="5">
        <v>77554.509999999995</v>
      </c>
      <c r="G215" s="5">
        <v>0</v>
      </c>
      <c r="H215" s="5">
        <v>77554.509999999995</v>
      </c>
      <c r="I215" s="58">
        <f t="shared" si="39"/>
        <v>981.10332585729611</v>
      </c>
      <c r="J215">
        <v>365</v>
      </c>
      <c r="K215" s="128" t="str">
        <f t="shared" si="42"/>
        <v>-</v>
      </c>
      <c r="L215" s="96">
        <f t="shared" si="43"/>
        <v>77554.509999999995</v>
      </c>
      <c r="M215" s="96">
        <f t="shared" si="44"/>
        <v>43261.776038207237</v>
      </c>
      <c r="N215" s="60"/>
      <c r="O215" s="60">
        <f>IFERROR(INDEX('Revised 2020 MFAM(2020 PYAs)'!U$20:U$269,MATCH(B215,'Revised 2020 MFAM(2020 PYAs)'!B$20:B$269,0)),0)</f>
        <v>-58.176392126879364</v>
      </c>
      <c r="P215" s="60">
        <f>IFERROR(INDEX('Revised 2020 MFAM(2019 PYAs)'!AF$26:AF$274,MATCH(B215,'Revised 2020 MFAM(2019 PYAs)'!B$26:B$274,0)),0)</f>
        <v>-0.25965104798524408</v>
      </c>
      <c r="Q215" s="60">
        <f t="shared" si="45"/>
        <v>-1.211928676553172</v>
      </c>
      <c r="R215" s="60">
        <f t="shared" si="46"/>
        <v>-59.647971851417779</v>
      </c>
      <c r="S215" s="60"/>
      <c r="T215" s="108">
        <f t="shared" si="51"/>
        <v>43202.128066355821</v>
      </c>
      <c r="U215" s="109">
        <v>0</v>
      </c>
      <c r="V215" s="110">
        <f t="shared" si="40"/>
        <v>0</v>
      </c>
      <c r="W215" s="60">
        <f t="shared" si="41"/>
        <v>43202.128066355821</v>
      </c>
      <c r="X215" s="62"/>
      <c r="Y215" s="60">
        <f t="shared" si="47"/>
        <v>10800.532016588955</v>
      </c>
      <c r="Z215" s="60">
        <f t="shared" si="48"/>
        <v>10800.532016588955</v>
      </c>
      <c r="AA215" s="60">
        <f t="shared" si="49"/>
        <v>10800.532016588955</v>
      </c>
      <c r="AB215" s="60">
        <f t="shared" si="50"/>
        <v>10800.532016588955</v>
      </c>
    </row>
    <row r="216" spans="2:28" x14ac:dyDescent="0.35">
      <c r="B216">
        <v>907</v>
      </c>
      <c r="C216" s="17">
        <v>8</v>
      </c>
      <c r="D216" s="22" t="s">
        <v>233</v>
      </c>
      <c r="E216" s="90">
        <v>11.362803380870103</v>
      </c>
      <c r="F216" s="5">
        <v>17305.330000000002</v>
      </c>
      <c r="G216" s="5">
        <v>0</v>
      </c>
      <c r="H216" s="5">
        <v>17305.330000000002</v>
      </c>
      <c r="I216" s="58">
        <f t="shared" si="39"/>
        <v>1522.9806782659343</v>
      </c>
      <c r="J216">
        <v>181</v>
      </c>
      <c r="K216" s="128">
        <f t="shared" si="42"/>
        <v>45108</v>
      </c>
      <c r="L216" s="96">
        <f t="shared" si="43"/>
        <v>8581.5472054794536</v>
      </c>
      <c r="M216" s="96">
        <f t="shared" si="44"/>
        <v>4786.9939899659648</v>
      </c>
      <c r="N216" s="60"/>
      <c r="O216" s="60">
        <f>IFERROR(INDEX('Revised 2020 MFAM(2020 PYAs)'!U$20:U$269,MATCH(B216,'Revised 2020 MFAM(2020 PYAs)'!B$20:B$269,0)),0)</f>
        <v>-16.231087922009465</v>
      </c>
      <c r="P216" s="60">
        <f>IFERROR(INDEX('Revised 2020 MFAM(2019 PYAs)'!AF$26:AF$274,MATCH(B216,'Revised 2020 MFAM(2019 PYAs)'!B$26:B$274,0)),0)</f>
        <v>-8.3687677750276634E-2</v>
      </c>
      <c r="Q216" s="60">
        <f t="shared" si="45"/>
        <v>-0.13410210634449612</v>
      </c>
      <c r="R216" s="60">
        <f t="shared" si="46"/>
        <v>-16.448877706104238</v>
      </c>
      <c r="S216" s="60"/>
      <c r="T216" s="108">
        <f t="shared" si="51"/>
        <v>4770.5451122598606</v>
      </c>
      <c r="U216" s="109">
        <v>0</v>
      </c>
      <c r="V216" s="110">
        <f t="shared" si="40"/>
        <v>0</v>
      </c>
      <c r="W216" s="60">
        <f t="shared" si="41"/>
        <v>4770.5451122598606</v>
      </c>
      <c r="X216" s="62"/>
      <c r="Y216" s="60">
        <f t="shared" si="47"/>
        <v>2385.2725561299303</v>
      </c>
      <c r="Z216" s="60">
        <f t="shared" si="48"/>
        <v>2385.2725561299303</v>
      </c>
      <c r="AA216" s="60">
        <f t="shared" si="49"/>
        <v>0</v>
      </c>
      <c r="AB216" s="60">
        <f t="shared" si="50"/>
        <v>0</v>
      </c>
    </row>
    <row r="217" spans="2:28" x14ac:dyDescent="0.35">
      <c r="B217">
        <v>914</v>
      </c>
      <c r="C217" s="17">
        <v>8</v>
      </c>
      <c r="D217" s="22" t="s">
        <v>234</v>
      </c>
      <c r="E217" s="90">
        <v>98.843227865252302</v>
      </c>
      <c r="F217" s="5">
        <v>41204.31</v>
      </c>
      <c r="G217" s="5">
        <v>0</v>
      </c>
      <c r="H217" s="5">
        <v>41204.31</v>
      </c>
      <c r="I217" s="58">
        <f t="shared" si="39"/>
        <v>416.86528141484445</v>
      </c>
      <c r="J217">
        <v>365</v>
      </c>
      <c r="K217" s="128" t="str">
        <f t="shared" si="42"/>
        <v>-</v>
      </c>
      <c r="L217" s="96">
        <f t="shared" si="43"/>
        <v>41204.31</v>
      </c>
      <c r="M217" s="96">
        <f t="shared" si="44"/>
        <v>22984.757830703369</v>
      </c>
      <c r="N217" s="60"/>
      <c r="O217" s="60">
        <f>IFERROR(INDEX('Revised 2020 MFAM(2020 PYAs)'!U$20:U$269,MATCH(B217,'Revised 2020 MFAM(2020 PYAs)'!B$20:B$269,0)),0)</f>
        <v>-16.466919289694488</v>
      </c>
      <c r="P217" s="60">
        <f>IFERROR(INDEX('Revised 2020 MFAM(2019 PYAs)'!AF$26:AF$274,MATCH(B217,'Revised 2020 MFAM(2019 PYAs)'!B$26:B$274,0)),0)</f>
        <v>0</v>
      </c>
      <c r="Q217" s="60">
        <f t="shared" si="45"/>
        <v>-0.64389143695945772</v>
      </c>
      <c r="R217" s="60">
        <f t="shared" si="46"/>
        <v>-17.110810726653945</v>
      </c>
      <c r="S217" s="60"/>
      <c r="T217" s="108">
        <f t="shared" si="51"/>
        <v>22967.647019976714</v>
      </c>
      <c r="U217" s="109">
        <v>0</v>
      </c>
      <c r="V217" s="110">
        <f t="shared" si="40"/>
        <v>0</v>
      </c>
      <c r="W217" s="60">
        <f t="shared" si="41"/>
        <v>22967.647019976714</v>
      </c>
      <c r="X217" s="62"/>
      <c r="Y217" s="60">
        <f t="shared" si="47"/>
        <v>5741.9117549941784</v>
      </c>
      <c r="Z217" s="60">
        <f t="shared" si="48"/>
        <v>5741.9117549941784</v>
      </c>
      <c r="AA217" s="60">
        <f t="shared" si="49"/>
        <v>5741.9117549941784</v>
      </c>
      <c r="AB217" s="60">
        <f t="shared" si="50"/>
        <v>5741.9117549941784</v>
      </c>
    </row>
    <row r="218" spans="2:28" x14ac:dyDescent="0.35">
      <c r="B218">
        <v>918</v>
      </c>
      <c r="C218" s="17">
        <v>8</v>
      </c>
      <c r="D218" s="22" t="s">
        <v>235</v>
      </c>
      <c r="E218" s="90">
        <v>55.103015623061204</v>
      </c>
      <c r="F218" s="5">
        <v>70824.52</v>
      </c>
      <c r="G218" s="5">
        <v>0</v>
      </c>
      <c r="H218" s="5">
        <v>70824.52</v>
      </c>
      <c r="I218" s="58">
        <f t="shared" si="39"/>
        <v>1285.3111431229761</v>
      </c>
      <c r="J218">
        <v>365</v>
      </c>
      <c r="K218" s="128" t="str">
        <f t="shared" si="42"/>
        <v>-</v>
      </c>
      <c r="L218" s="96">
        <f t="shared" si="43"/>
        <v>70824.52</v>
      </c>
      <c r="M218" s="96">
        <f t="shared" si="44"/>
        <v>39507.625310939744</v>
      </c>
      <c r="N218" s="60"/>
      <c r="O218" s="60">
        <f>IFERROR(INDEX('Revised 2020 MFAM(2020 PYAs)'!U$20:U$269,MATCH(B218,'Revised 2020 MFAM(2020 PYAs)'!B$20:B$269,0)),0)</f>
        <v>-48.183694423900306</v>
      </c>
      <c r="P218" s="60">
        <f>IFERROR(INDEX('Revised 2020 MFAM(2019 PYAs)'!AF$26:AF$274,MATCH(B218,'Revised 2020 MFAM(2019 PYAs)'!B$26:B$274,0)),0)</f>
        <v>-0.39449067484383704</v>
      </c>
      <c r="Q218" s="60">
        <f t="shared" si="45"/>
        <v>-1.1067604809973484</v>
      </c>
      <c r="R218" s="60">
        <f t="shared" si="46"/>
        <v>-49.684945579741495</v>
      </c>
      <c r="S218" s="60"/>
      <c r="T218" s="108">
        <f t="shared" si="51"/>
        <v>39457.940365360002</v>
      </c>
      <c r="U218" s="109">
        <v>0</v>
      </c>
      <c r="V218" s="110">
        <f t="shared" si="40"/>
        <v>0</v>
      </c>
      <c r="W218" s="60">
        <f t="shared" si="41"/>
        <v>39457.940365360002</v>
      </c>
      <c r="X218" s="62"/>
      <c r="Y218" s="60">
        <f t="shared" si="47"/>
        <v>9864.4850913400005</v>
      </c>
      <c r="Z218" s="60">
        <f t="shared" si="48"/>
        <v>9864.4850913400005</v>
      </c>
      <c r="AA218" s="60">
        <f t="shared" si="49"/>
        <v>9864.4850913400005</v>
      </c>
      <c r="AB218" s="60">
        <f t="shared" si="50"/>
        <v>9864.4850913400005</v>
      </c>
    </row>
    <row r="219" spans="2:28" x14ac:dyDescent="0.35">
      <c r="B219">
        <v>922</v>
      </c>
      <c r="C219" s="17">
        <v>8</v>
      </c>
      <c r="D219" s="22" t="s">
        <v>236</v>
      </c>
      <c r="E219" s="90">
        <v>91.800000000000011</v>
      </c>
      <c r="F219" s="5">
        <v>136007.13</v>
      </c>
      <c r="G219" s="5">
        <v>3615.62</v>
      </c>
      <c r="H219" s="5">
        <v>132391.51</v>
      </c>
      <c r="I219" s="58">
        <f t="shared" si="39"/>
        <v>1442.173311546841</v>
      </c>
      <c r="J219">
        <v>365</v>
      </c>
      <c r="K219" s="128" t="str">
        <f t="shared" si="42"/>
        <v>-</v>
      </c>
      <c r="L219" s="96">
        <f t="shared" si="43"/>
        <v>132391.51</v>
      </c>
      <c r="M219" s="96">
        <f t="shared" si="44"/>
        <v>73851.177126643888</v>
      </c>
      <c r="N219" s="60"/>
      <c r="O219" s="60">
        <f>IFERROR(INDEX('Revised 2020 MFAM(2020 PYAs)'!U$20:U$269,MATCH(B219,'Revised 2020 MFAM(2020 PYAs)'!B$20:B$269,0)),0)</f>
        <v>-115.67727898711746</v>
      </c>
      <c r="P219" s="60">
        <f>IFERROR(INDEX('Revised 2020 MFAM(2019 PYAs)'!AF$26:AF$274,MATCH(B219,'Revised 2020 MFAM(2019 PYAs)'!B$26:B$274,0)),0)</f>
        <v>-0.3588323220028542</v>
      </c>
      <c r="Q219" s="60">
        <f t="shared" si="45"/>
        <v>-2.0688554089398035</v>
      </c>
      <c r="R219" s="60">
        <f t="shared" si="46"/>
        <v>-118.10496671806011</v>
      </c>
      <c r="S219" s="60"/>
      <c r="T219" s="108">
        <f t="shared" si="51"/>
        <v>73733.072159925825</v>
      </c>
      <c r="U219" s="109">
        <v>0</v>
      </c>
      <c r="V219" s="110">
        <f t="shared" si="40"/>
        <v>0</v>
      </c>
      <c r="W219" s="60">
        <f t="shared" si="41"/>
        <v>73733.072159925825</v>
      </c>
      <c r="X219" s="62"/>
      <c r="Y219" s="60">
        <f t="shared" si="47"/>
        <v>18433.268039981456</v>
      </c>
      <c r="Z219" s="60">
        <f t="shared" si="48"/>
        <v>18433.268039981456</v>
      </c>
      <c r="AA219" s="60">
        <f t="shared" si="49"/>
        <v>18433.268039981456</v>
      </c>
      <c r="AB219" s="60">
        <f t="shared" si="50"/>
        <v>18433.268039981456</v>
      </c>
    </row>
    <row r="220" spans="2:28" x14ac:dyDescent="0.35">
      <c r="B220">
        <v>924</v>
      </c>
      <c r="C220" s="17">
        <v>8</v>
      </c>
      <c r="D220" s="22" t="s">
        <v>237</v>
      </c>
      <c r="E220" s="90">
        <v>67.808296932327536</v>
      </c>
      <c r="F220" s="5">
        <v>78982.66</v>
      </c>
      <c r="G220" s="5">
        <v>0</v>
      </c>
      <c r="H220" s="5">
        <v>78982.66</v>
      </c>
      <c r="I220" s="58">
        <f t="shared" si="39"/>
        <v>1164.7934481944658</v>
      </c>
      <c r="J220">
        <v>365</v>
      </c>
      <c r="K220" s="128" t="str">
        <f t="shared" si="42"/>
        <v>-</v>
      </c>
      <c r="L220" s="96">
        <f t="shared" si="43"/>
        <v>78982.66</v>
      </c>
      <c r="M220" s="96">
        <f t="shared" si="44"/>
        <v>44058.432550497309</v>
      </c>
      <c r="N220" s="60"/>
      <c r="O220" s="60">
        <f>IFERROR(INDEX('Revised 2020 MFAM(2020 PYAs)'!U$20:U$269,MATCH(B220,'Revised 2020 MFAM(2020 PYAs)'!B$20:B$269,0)),0)</f>
        <v>-40.000774181691668</v>
      </c>
      <c r="P220" s="60">
        <f>IFERROR(INDEX('Revised 2020 MFAM(2019 PYAs)'!AF$26:AF$274,MATCH(B220,'Revised 2020 MFAM(2019 PYAs)'!B$26:B$274,0)),0)</f>
        <v>-0.25778963174889213</v>
      </c>
      <c r="Q220" s="60">
        <f t="shared" si="45"/>
        <v>-1.2342460883893041</v>
      </c>
      <c r="R220" s="60">
        <f t="shared" si="46"/>
        <v>-41.492809901829865</v>
      </c>
      <c r="S220" s="60"/>
      <c r="T220" s="108">
        <f t="shared" si="51"/>
        <v>44016.939740595481</v>
      </c>
      <c r="U220" s="109">
        <v>0</v>
      </c>
      <c r="V220" s="110">
        <f t="shared" si="40"/>
        <v>0</v>
      </c>
      <c r="W220" s="60">
        <f t="shared" si="41"/>
        <v>44016.939740595481</v>
      </c>
      <c r="X220" s="62"/>
      <c r="Y220" s="60">
        <f t="shared" si="47"/>
        <v>11004.23493514887</v>
      </c>
      <c r="Z220" s="60">
        <f t="shared" si="48"/>
        <v>11004.23493514887</v>
      </c>
      <c r="AA220" s="60">
        <f t="shared" si="49"/>
        <v>11004.23493514887</v>
      </c>
      <c r="AB220" s="60">
        <f t="shared" si="50"/>
        <v>11004.23493514887</v>
      </c>
    </row>
    <row r="221" spans="2:28" x14ac:dyDescent="0.35">
      <c r="B221">
        <v>929</v>
      </c>
      <c r="C221" s="17">
        <v>8</v>
      </c>
      <c r="D221" s="22" t="s">
        <v>238</v>
      </c>
      <c r="E221" s="90">
        <v>61.780307802862083</v>
      </c>
      <c r="F221" s="5">
        <v>117336.62</v>
      </c>
      <c r="G221" s="5">
        <v>0</v>
      </c>
      <c r="H221" s="5">
        <v>117336.62</v>
      </c>
      <c r="I221" s="58">
        <f t="shared" si="39"/>
        <v>1899.2559955255542</v>
      </c>
      <c r="J221">
        <v>365</v>
      </c>
      <c r="K221" s="128" t="str">
        <f t="shared" si="42"/>
        <v>-</v>
      </c>
      <c r="L221" s="96">
        <f t="shared" si="43"/>
        <v>117336.62</v>
      </c>
      <c r="M221" s="96">
        <f t="shared" si="44"/>
        <v>65453.196410115001</v>
      </c>
      <c r="N221" s="60"/>
      <c r="O221" s="60">
        <f>IFERROR(INDEX('Revised 2020 MFAM(2020 PYAs)'!U$20:U$269,MATCH(B221,'Revised 2020 MFAM(2020 PYAs)'!B$20:B$269,0)),0)</f>
        <v>-62.481430333406024</v>
      </c>
      <c r="P221" s="60">
        <f>IFERROR(INDEX('Revised 2020 MFAM(2019 PYAs)'!AF$26:AF$274,MATCH(B221,'Revised 2020 MFAM(2019 PYAs)'!B$26:B$274,0)),0)</f>
        <v>-0.19503185736903106</v>
      </c>
      <c r="Q221" s="60">
        <f t="shared" si="45"/>
        <v>-1.8335956811257328</v>
      </c>
      <c r="R221" s="60">
        <f t="shared" si="46"/>
        <v>-64.510057871900784</v>
      </c>
      <c r="S221" s="60"/>
      <c r="T221" s="108">
        <f t="shared" si="51"/>
        <v>65388.686352243101</v>
      </c>
      <c r="U221" s="109">
        <v>0</v>
      </c>
      <c r="V221" s="110">
        <f t="shared" si="40"/>
        <v>0</v>
      </c>
      <c r="W221" s="60">
        <f t="shared" si="41"/>
        <v>65388.686352243101</v>
      </c>
      <c r="X221" s="62"/>
      <c r="Y221" s="60">
        <f t="shared" si="47"/>
        <v>16347.171588060775</v>
      </c>
      <c r="Z221" s="60">
        <f t="shared" si="48"/>
        <v>16347.171588060775</v>
      </c>
      <c r="AA221" s="60">
        <f t="shared" si="49"/>
        <v>16347.171588060775</v>
      </c>
      <c r="AB221" s="60">
        <f t="shared" si="50"/>
        <v>16347.171588060775</v>
      </c>
    </row>
    <row r="222" spans="2:28" x14ac:dyDescent="0.35">
      <c r="B222">
        <v>955</v>
      </c>
      <c r="C222" s="17">
        <v>8</v>
      </c>
      <c r="D222" s="22" t="s">
        <v>239</v>
      </c>
      <c r="E222" s="90">
        <v>49.769591724621257</v>
      </c>
      <c r="F222" s="5">
        <v>32617.75</v>
      </c>
      <c r="G222" s="5">
        <v>0</v>
      </c>
      <c r="H222" s="5">
        <v>32617.75</v>
      </c>
      <c r="I222" s="58">
        <f t="shared" si="39"/>
        <v>655.37507682354249</v>
      </c>
      <c r="J222">
        <v>365</v>
      </c>
      <c r="K222" s="128" t="str">
        <f t="shared" si="42"/>
        <v>-</v>
      </c>
      <c r="L222" s="96">
        <f t="shared" si="43"/>
        <v>32617.75</v>
      </c>
      <c r="M222" s="96">
        <f t="shared" si="44"/>
        <v>18194.967583061694</v>
      </c>
      <c r="N222" s="60"/>
      <c r="O222" s="60">
        <f>IFERROR(INDEX('Revised 2020 MFAM(2020 PYAs)'!U$20:U$269,MATCH(B222,'Revised 2020 MFAM(2020 PYAs)'!B$20:B$269,0)),0)</f>
        <v>-26.205341907387265</v>
      </c>
      <c r="P222" s="60">
        <f>IFERROR(INDEX('Revised 2020 MFAM(2019 PYAs)'!AF$26:AF$274,MATCH(B222,'Revised 2020 MFAM(2019 PYAs)'!B$26:B$274,0)),0)</f>
        <v>-0.10336365774855949</v>
      </c>
      <c r="Q222" s="60">
        <f t="shared" si="45"/>
        <v>-0.50971099668661723</v>
      </c>
      <c r="R222" s="60">
        <f t="shared" si="46"/>
        <v>-26.818416561822442</v>
      </c>
      <c r="S222" s="60"/>
      <c r="T222" s="108">
        <f t="shared" si="51"/>
        <v>18168.149166499872</v>
      </c>
      <c r="U222" s="109">
        <v>0</v>
      </c>
      <c r="V222" s="110">
        <f t="shared" si="40"/>
        <v>0</v>
      </c>
      <c r="W222" s="60">
        <f t="shared" si="41"/>
        <v>18168.149166499872</v>
      </c>
      <c r="X222" s="62"/>
      <c r="Y222" s="60">
        <f t="shared" si="47"/>
        <v>4542.037291624968</v>
      </c>
      <c r="Z222" s="60">
        <f t="shared" si="48"/>
        <v>4542.037291624968</v>
      </c>
      <c r="AA222" s="60">
        <f t="shared" si="49"/>
        <v>4542.037291624968</v>
      </c>
      <c r="AB222" s="60">
        <f t="shared" si="50"/>
        <v>4542.037291624968</v>
      </c>
    </row>
    <row r="223" spans="2:28" x14ac:dyDescent="0.35">
      <c r="B223">
        <v>973</v>
      </c>
      <c r="C223" s="17">
        <v>8</v>
      </c>
      <c r="D223" s="22" t="s">
        <v>240</v>
      </c>
      <c r="E223" s="90">
        <v>11.654859385148486</v>
      </c>
      <c r="F223" s="5">
        <v>12995.83</v>
      </c>
      <c r="G223" s="5">
        <v>0</v>
      </c>
      <c r="H223" s="5">
        <v>12995.83</v>
      </c>
      <c r="I223" s="58">
        <f t="shared" si="39"/>
        <v>1115.056781942842</v>
      </c>
      <c r="J223">
        <v>365</v>
      </c>
      <c r="K223" s="128" t="str">
        <f t="shared" si="42"/>
        <v>-</v>
      </c>
      <c r="L223" s="96">
        <f t="shared" si="43"/>
        <v>12995.83</v>
      </c>
      <c r="M223" s="96">
        <f t="shared" si="44"/>
        <v>7249.387390760573</v>
      </c>
      <c r="N223" s="60"/>
      <c r="O223" s="60">
        <f>IFERROR(INDEX('Revised 2020 MFAM(2020 PYAs)'!U$20:U$269,MATCH(B223,'Revised 2020 MFAM(2020 PYAs)'!B$20:B$269,0)),0)</f>
        <v>-8.6106188753319657</v>
      </c>
      <c r="P223" s="60">
        <f>IFERROR(INDEX('Revised 2020 MFAM(2019 PYAs)'!AF$26:AF$274,MATCH(B223,'Revised 2020 MFAM(2019 PYAs)'!B$26:B$274,0)),0)</f>
        <v>-3.5915126701638656E-2</v>
      </c>
      <c r="Q223" s="60">
        <f t="shared" si="45"/>
        <v>-0.20308321273140673</v>
      </c>
      <c r="R223" s="60">
        <f t="shared" si="46"/>
        <v>-8.8496172147650114</v>
      </c>
      <c r="S223" s="60"/>
      <c r="T223" s="108">
        <f t="shared" si="51"/>
        <v>7240.5377735458078</v>
      </c>
      <c r="U223" s="109">
        <v>0</v>
      </c>
      <c r="V223" s="110">
        <f t="shared" si="40"/>
        <v>0</v>
      </c>
      <c r="W223" s="60">
        <f t="shared" si="41"/>
        <v>7240.5377735458078</v>
      </c>
      <c r="X223" s="62"/>
      <c r="Y223" s="60">
        <f t="shared" si="47"/>
        <v>1810.1344433864519</v>
      </c>
      <c r="Z223" s="60">
        <f t="shared" si="48"/>
        <v>1810.1344433864519</v>
      </c>
      <c r="AA223" s="60">
        <f t="shared" si="49"/>
        <v>1810.1344433864519</v>
      </c>
      <c r="AB223" s="60">
        <f t="shared" si="50"/>
        <v>1810.1344433864519</v>
      </c>
    </row>
    <row r="224" spans="2:28" x14ac:dyDescent="0.35">
      <c r="B224">
        <v>974</v>
      </c>
      <c r="C224" s="17">
        <v>8</v>
      </c>
      <c r="D224" s="22" t="s">
        <v>241</v>
      </c>
      <c r="E224" s="90">
        <v>11.780000000000001</v>
      </c>
      <c r="F224" s="5">
        <v>37302.31</v>
      </c>
      <c r="G224" s="5">
        <v>0</v>
      </c>
      <c r="H224" s="5">
        <v>37302.31</v>
      </c>
      <c r="I224" s="58">
        <f t="shared" si="39"/>
        <v>3166.5797962648553</v>
      </c>
      <c r="J224">
        <v>365</v>
      </c>
      <c r="K224" s="128" t="str">
        <f t="shared" si="42"/>
        <v>-</v>
      </c>
      <c r="L224" s="96">
        <f t="shared" si="43"/>
        <v>37302.31</v>
      </c>
      <c r="M224" s="96">
        <f t="shared" si="44"/>
        <v>20808.12812727175</v>
      </c>
      <c r="N224" s="60"/>
      <c r="O224" s="60">
        <f>IFERROR(INDEX('Revised 2020 MFAM(2020 PYAs)'!U$20:U$269,MATCH(B224,'Revised 2020 MFAM(2020 PYAs)'!B$20:B$269,0)),0)</f>
        <v>-14.311963215724973</v>
      </c>
      <c r="P224" s="60">
        <f>IFERROR(INDEX('Revised 2020 MFAM(2019 PYAs)'!AF$26:AF$274,MATCH(B224,'Revised 2020 MFAM(2019 PYAs)'!B$26:B$274,0)),0)</f>
        <v>-6.4901611268396664E-2</v>
      </c>
      <c r="Q224" s="60">
        <f t="shared" si="45"/>
        <v>-0.58291567041911752</v>
      </c>
      <c r="R224" s="60">
        <f t="shared" si="46"/>
        <v>-14.959780497412487</v>
      </c>
      <c r="S224" s="60"/>
      <c r="T224" s="108">
        <f t="shared" si="51"/>
        <v>20793.168346774339</v>
      </c>
      <c r="U224" s="109">
        <v>0</v>
      </c>
      <c r="V224" s="110">
        <f t="shared" si="40"/>
        <v>0</v>
      </c>
      <c r="W224" s="60">
        <f t="shared" si="41"/>
        <v>20793.168346774339</v>
      </c>
      <c r="X224" s="62"/>
      <c r="Y224" s="60">
        <f t="shared" si="47"/>
        <v>5198.2920866935847</v>
      </c>
      <c r="Z224" s="60">
        <f t="shared" si="48"/>
        <v>5198.2920866935847</v>
      </c>
      <c r="AA224" s="60">
        <f t="shared" si="49"/>
        <v>5198.2920866935847</v>
      </c>
      <c r="AB224" s="60">
        <f t="shared" si="50"/>
        <v>5198.2920866935847</v>
      </c>
    </row>
    <row r="225" spans="2:28" x14ac:dyDescent="0.35">
      <c r="B225">
        <v>978</v>
      </c>
      <c r="C225" s="17">
        <v>8</v>
      </c>
      <c r="D225" s="22" t="s">
        <v>242</v>
      </c>
      <c r="E225" s="90">
        <v>21.802195774780508</v>
      </c>
      <c r="F225" s="5">
        <v>49247.6</v>
      </c>
      <c r="G225" s="5">
        <v>0</v>
      </c>
      <c r="H225" s="5">
        <v>49247.6</v>
      </c>
      <c r="I225" s="58">
        <f t="shared" si="39"/>
        <v>2258.8367019879124</v>
      </c>
      <c r="J225">
        <v>365</v>
      </c>
      <c r="K225" s="128" t="str">
        <f t="shared" si="42"/>
        <v>-</v>
      </c>
      <c r="L225" s="96">
        <f t="shared" si="43"/>
        <v>49247.6</v>
      </c>
      <c r="M225" s="96">
        <f t="shared" si="44"/>
        <v>27471.498970455938</v>
      </c>
      <c r="N225" s="60"/>
      <c r="O225" s="60">
        <f>IFERROR(INDEX('Revised 2020 MFAM(2020 PYAs)'!U$20:U$269,MATCH(B225,'Revised 2020 MFAM(2020 PYAs)'!B$20:B$269,0)),0)</f>
        <v>-23.373401124183147</v>
      </c>
      <c r="P225" s="60">
        <f>IFERROR(INDEX('Revised 2020 MFAM(2019 PYAs)'!AF$26:AF$274,MATCH(B225,'Revised 2020 MFAM(2019 PYAs)'!B$26:B$274,0)),0)</f>
        <v>-0.12155447419900156</v>
      </c>
      <c r="Q225" s="60">
        <f t="shared" si="45"/>
        <v>-0.76958230657920468</v>
      </c>
      <c r="R225" s="60">
        <f t="shared" si="46"/>
        <v>-24.264537904961355</v>
      </c>
      <c r="S225" s="60"/>
      <c r="T225" s="108">
        <f t="shared" si="51"/>
        <v>27447.234432550977</v>
      </c>
      <c r="U225" s="109">
        <v>0</v>
      </c>
      <c r="V225" s="110">
        <f t="shared" si="40"/>
        <v>0</v>
      </c>
      <c r="W225" s="60">
        <f t="shared" si="41"/>
        <v>27447.234432550977</v>
      </c>
      <c r="X225" s="62"/>
      <c r="Y225" s="60">
        <f t="shared" si="47"/>
        <v>6861.8086081377442</v>
      </c>
      <c r="Z225" s="60">
        <f t="shared" si="48"/>
        <v>6861.8086081377442</v>
      </c>
      <c r="AA225" s="60">
        <f t="shared" si="49"/>
        <v>6861.8086081377442</v>
      </c>
      <c r="AB225" s="60">
        <f t="shared" si="50"/>
        <v>6861.8086081377442</v>
      </c>
    </row>
    <row r="226" spans="2:28" x14ac:dyDescent="0.35">
      <c r="B226">
        <v>985</v>
      </c>
      <c r="C226" s="17">
        <v>8</v>
      </c>
      <c r="D226" s="22" t="s">
        <v>243</v>
      </c>
      <c r="E226" s="90">
        <v>125.19264759710784</v>
      </c>
      <c r="F226" s="5">
        <v>250917.16</v>
      </c>
      <c r="G226" s="5">
        <v>0</v>
      </c>
      <c r="H226" s="5">
        <v>250917.16</v>
      </c>
      <c r="I226" s="58">
        <f t="shared" si="39"/>
        <v>2004.2483709386511</v>
      </c>
      <c r="J226">
        <v>365</v>
      </c>
      <c r="K226" s="128" t="str">
        <f t="shared" si="42"/>
        <v>-</v>
      </c>
      <c r="L226" s="96">
        <f t="shared" si="43"/>
        <v>250917.16</v>
      </c>
      <c r="M226" s="96">
        <f t="shared" si="44"/>
        <v>139967.64314625948</v>
      </c>
      <c r="N226" s="60"/>
      <c r="O226" s="60">
        <f>IFERROR(INDEX('Revised 2020 MFAM(2020 PYAs)'!U$20:U$269,MATCH(B226,'Revised 2020 MFAM(2020 PYAs)'!B$20:B$269,0)),0)</f>
        <v>-209.06404307158664</v>
      </c>
      <c r="P226" s="60">
        <f>IFERROR(INDEX('Revised 2020 MFAM(2019 PYAs)'!AF$26:AF$274,MATCH(B226,'Revised 2020 MFAM(2019 PYAs)'!B$26:B$274,0)),0)</f>
        <v>-0.50967398948705522</v>
      </c>
      <c r="Q226" s="60">
        <f t="shared" si="45"/>
        <v>-3.921031821918294</v>
      </c>
      <c r="R226" s="60">
        <f t="shared" si="46"/>
        <v>-213.49474888299198</v>
      </c>
      <c r="S226" s="60"/>
      <c r="T226" s="108">
        <f t="shared" si="51"/>
        <v>139754.1483973765</v>
      </c>
      <c r="U226" s="109">
        <v>0</v>
      </c>
      <c r="V226" s="110">
        <f t="shared" si="40"/>
        <v>0</v>
      </c>
      <c r="W226" s="60">
        <f t="shared" si="41"/>
        <v>139754.1483973765</v>
      </c>
      <c r="X226" s="62"/>
      <c r="Y226" s="60">
        <f t="shared" si="47"/>
        <v>34938.537099344125</v>
      </c>
      <c r="Z226" s="60">
        <f t="shared" si="48"/>
        <v>34938.537099344125</v>
      </c>
      <c r="AA226" s="60">
        <f t="shared" si="49"/>
        <v>34938.537099344125</v>
      </c>
      <c r="AB226" s="60">
        <f t="shared" si="50"/>
        <v>34938.537099344125</v>
      </c>
    </row>
    <row r="227" spans="2:28" x14ac:dyDescent="0.35">
      <c r="B227">
        <v>100</v>
      </c>
      <c r="C227" s="17">
        <v>9</v>
      </c>
      <c r="D227" s="22" t="s">
        <v>244</v>
      </c>
      <c r="E227" s="90">
        <v>36.052554656926674</v>
      </c>
      <c r="F227" s="5">
        <v>31695.24</v>
      </c>
      <c r="G227" s="5">
        <v>0</v>
      </c>
      <c r="H227" s="5">
        <v>31695.24</v>
      </c>
      <c r="I227" s="58">
        <f t="shared" si="39"/>
        <v>879.13991953162429</v>
      </c>
      <c r="J227">
        <v>365</v>
      </c>
      <c r="K227" s="128" t="str">
        <f t="shared" si="42"/>
        <v>-</v>
      </c>
      <c r="L227" s="96">
        <f t="shared" si="43"/>
        <v>31695.240000000005</v>
      </c>
      <c r="M227" s="96">
        <f t="shared" si="44"/>
        <v>17680.369257148654</v>
      </c>
      <c r="N227" s="60"/>
      <c r="O227" s="60">
        <f>IFERROR(INDEX('Revised 2020 MFAM(2020 PYAs)'!U$20:U$269,MATCH(B227,'Revised 2020 MFAM(2020 PYAs)'!B$20:B$269,0)),0)</f>
        <v>-25.960913334440193</v>
      </c>
      <c r="P227" s="60">
        <f>IFERROR(INDEX('Revised 2020 MFAM(2019 PYAs)'!AF$26:AF$274,MATCH(B227,'Revised 2020 MFAM(2019 PYAs)'!B$26:B$274,0)),0)</f>
        <v>0.41511498624458909</v>
      </c>
      <c r="Q227" s="60">
        <f t="shared" si="45"/>
        <v>-0.49529511908766061</v>
      </c>
      <c r="R227" s="60">
        <f t="shared" si="46"/>
        <v>-26.041093467283265</v>
      </c>
      <c r="S227" s="60"/>
      <c r="T227" s="108">
        <f t="shared" si="51"/>
        <v>17654.32816368137</v>
      </c>
      <c r="U227" s="109">
        <v>0</v>
      </c>
      <c r="V227" s="110">
        <f t="shared" si="40"/>
        <v>0</v>
      </c>
      <c r="W227" s="60">
        <f t="shared" si="41"/>
        <v>17654.32816368137</v>
      </c>
      <c r="X227" s="62"/>
      <c r="Y227" s="60">
        <f t="shared" si="47"/>
        <v>4413.5820409203425</v>
      </c>
      <c r="Z227" s="60">
        <f t="shared" si="48"/>
        <v>4413.5820409203425</v>
      </c>
      <c r="AA227" s="60">
        <f t="shared" si="49"/>
        <v>4413.5820409203425</v>
      </c>
      <c r="AB227" s="60">
        <f t="shared" si="50"/>
        <v>4413.5820409203425</v>
      </c>
    </row>
    <row r="228" spans="2:28" x14ac:dyDescent="0.35">
      <c r="B228">
        <v>159</v>
      </c>
      <c r="C228" s="17">
        <v>9</v>
      </c>
      <c r="D228" s="22" t="s">
        <v>245</v>
      </c>
      <c r="E228" s="90">
        <v>784.37563353629503</v>
      </c>
      <c r="F228" s="5">
        <v>330948</v>
      </c>
      <c r="G228" s="5">
        <v>0</v>
      </c>
      <c r="H228" s="5">
        <v>330948</v>
      </c>
      <c r="I228" s="58">
        <f t="shared" si="39"/>
        <v>421.92539626447513</v>
      </c>
      <c r="J228">
        <v>365</v>
      </c>
      <c r="K228" s="128" t="str">
        <f t="shared" si="42"/>
        <v>-</v>
      </c>
      <c r="L228" s="96">
        <f t="shared" si="43"/>
        <v>330948</v>
      </c>
      <c r="M228" s="96">
        <f t="shared" si="44"/>
        <v>184610.77577941772</v>
      </c>
      <c r="N228" s="60"/>
      <c r="O228" s="60">
        <f>IFERROR(INDEX('Revised 2020 MFAM(2020 PYAs)'!U$20:U$269,MATCH(B228,'Revised 2020 MFAM(2020 PYAs)'!B$20:B$269,0)),0)</f>
        <v>-244.60046773738577</v>
      </c>
      <c r="P228" s="60">
        <f>IFERROR(INDEX('Revised 2020 MFAM(2019 PYAs)'!AF$26:AF$274,MATCH(B228,'Revised 2020 MFAM(2019 PYAs)'!B$26:B$274,0)),0)</f>
        <v>-0.81032984209014103</v>
      </c>
      <c r="Q228" s="60">
        <f t="shared" si="45"/>
        <v>-5.1716576076351872</v>
      </c>
      <c r="R228" s="60">
        <f t="shared" si="46"/>
        <v>-250.58245518711109</v>
      </c>
      <c r="S228" s="60"/>
      <c r="T228" s="108">
        <f t="shared" si="51"/>
        <v>184360.19332423061</v>
      </c>
      <c r="U228" s="109">
        <v>0</v>
      </c>
      <c r="V228" s="110">
        <f t="shared" si="40"/>
        <v>0</v>
      </c>
      <c r="W228" s="60">
        <f t="shared" si="41"/>
        <v>184360.19332423061</v>
      </c>
      <c r="X228" s="62"/>
      <c r="Y228" s="60">
        <f t="shared" si="47"/>
        <v>46090.048331057653</v>
      </c>
      <c r="Z228" s="60">
        <f t="shared" si="48"/>
        <v>46090.048331057653</v>
      </c>
      <c r="AA228" s="60">
        <f t="shared" si="49"/>
        <v>46090.048331057653</v>
      </c>
      <c r="AB228" s="60">
        <f t="shared" si="50"/>
        <v>46090.048331057653</v>
      </c>
    </row>
    <row r="229" spans="2:28" x14ac:dyDescent="0.35">
      <c r="B229">
        <v>173</v>
      </c>
      <c r="C229" s="17">
        <v>9</v>
      </c>
      <c r="D229" s="22" t="s">
        <v>246</v>
      </c>
      <c r="E229" s="90">
        <v>368.71</v>
      </c>
      <c r="F229" s="5">
        <v>271740.31</v>
      </c>
      <c r="G229" s="5">
        <v>0</v>
      </c>
      <c r="H229" s="5">
        <v>271740.31</v>
      </c>
      <c r="I229" s="58">
        <f t="shared" si="39"/>
        <v>737.00282064495138</v>
      </c>
      <c r="J229">
        <v>365</v>
      </c>
      <c r="K229" s="128" t="str">
        <f t="shared" si="42"/>
        <v>-</v>
      </c>
      <c r="L229" s="96">
        <f t="shared" si="43"/>
        <v>271740.31</v>
      </c>
      <c r="M229" s="96">
        <f t="shared" si="44"/>
        <v>151583.29840228515</v>
      </c>
      <c r="N229" s="60"/>
      <c r="O229" s="60">
        <f>IFERROR(INDEX('Revised 2020 MFAM(2020 PYAs)'!U$20:U$269,MATCH(B229,'Revised 2020 MFAM(2020 PYAs)'!B$20:B$269,0)),0)</f>
        <v>-181.70905920541554</v>
      </c>
      <c r="P229" s="60">
        <f>IFERROR(INDEX('Revised 2020 MFAM(2019 PYAs)'!AF$26:AF$274,MATCH(B229,'Revised 2020 MFAM(2019 PYAs)'!B$26:B$274,0)),0)</f>
        <v>-0.90969699759443756</v>
      </c>
      <c r="Q229" s="60">
        <f t="shared" si="45"/>
        <v>-4.2464309846641894</v>
      </c>
      <c r="R229" s="60">
        <f t="shared" si="46"/>
        <v>-186.86518718767417</v>
      </c>
      <c r="S229" s="60"/>
      <c r="T229" s="108">
        <f t="shared" si="51"/>
        <v>151396.43321509747</v>
      </c>
      <c r="U229" s="109">
        <v>0</v>
      </c>
      <c r="V229" s="110">
        <f t="shared" si="40"/>
        <v>0</v>
      </c>
      <c r="W229" s="60">
        <f t="shared" si="41"/>
        <v>151396.43321509747</v>
      </c>
      <c r="X229" s="62"/>
      <c r="Y229" s="60">
        <f t="shared" si="47"/>
        <v>37849.108303774367</v>
      </c>
      <c r="Z229" s="60">
        <f t="shared" si="48"/>
        <v>37849.108303774367</v>
      </c>
      <c r="AA229" s="60">
        <f t="shared" si="49"/>
        <v>37849.108303774367</v>
      </c>
      <c r="AB229" s="60">
        <f t="shared" si="50"/>
        <v>37849.108303774367</v>
      </c>
    </row>
    <row r="230" spans="2:28" x14ac:dyDescent="0.35">
      <c r="B230">
        <v>204</v>
      </c>
      <c r="C230" s="17">
        <v>9</v>
      </c>
      <c r="D230" s="22" t="s">
        <v>247</v>
      </c>
      <c r="E230" s="90">
        <v>416.32523027595386</v>
      </c>
      <c r="F230" s="5">
        <v>512790.99</v>
      </c>
      <c r="G230" s="5">
        <v>0</v>
      </c>
      <c r="H230" s="5">
        <v>512790.99</v>
      </c>
      <c r="I230" s="58">
        <f t="shared" si="39"/>
        <v>1231.7076955919906</v>
      </c>
      <c r="J230">
        <v>365</v>
      </c>
      <c r="K230" s="128" t="str">
        <f t="shared" si="42"/>
        <v>-</v>
      </c>
      <c r="L230" s="96">
        <f t="shared" si="43"/>
        <v>512790.99</v>
      </c>
      <c r="M230" s="96">
        <f t="shared" si="44"/>
        <v>286047.18105743389</v>
      </c>
      <c r="N230" s="60"/>
      <c r="O230" s="60">
        <f>IFERROR(INDEX('Revised 2020 MFAM(2020 PYAs)'!U$20:U$269,MATCH(B230,'Revised 2020 MFAM(2020 PYAs)'!B$20:B$269,0)),0)</f>
        <v>-423.05928198693437</v>
      </c>
      <c r="P230" s="60">
        <f>IFERROR(INDEX('Revised 2020 MFAM(2019 PYAs)'!AF$26:AF$274,MATCH(B230,'Revised 2020 MFAM(2019 PYAs)'!B$26:B$274,0)),0)</f>
        <v>-2.1889690857206006</v>
      </c>
      <c r="Q230" s="60">
        <f t="shared" si="45"/>
        <v>-8.0132813147693263</v>
      </c>
      <c r="R230" s="60">
        <f t="shared" si="46"/>
        <v>-433.26153238742427</v>
      </c>
      <c r="S230" s="60"/>
      <c r="T230" s="108">
        <f t="shared" si="51"/>
        <v>285613.91952504648</v>
      </c>
      <c r="U230" s="109">
        <v>0</v>
      </c>
      <c r="V230" s="110">
        <f t="shared" si="40"/>
        <v>0</v>
      </c>
      <c r="W230" s="60">
        <f t="shared" si="41"/>
        <v>285613.91952504648</v>
      </c>
      <c r="X230" s="62"/>
      <c r="Y230" s="60">
        <f t="shared" si="47"/>
        <v>71403.479881261621</v>
      </c>
      <c r="Z230" s="60">
        <f t="shared" si="48"/>
        <v>71403.479881261621</v>
      </c>
      <c r="AA230" s="60">
        <f t="shared" si="49"/>
        <v>71403.479881261621</v>
      </c>
      <c r="AB230" s="60">
        <f t="shared" si="50"/>
        <v>71403.479881261621</v>
      </c>
    </row>
    <row r="231" spans="2:28" x14ac:dyDescent="0.35">
      <c r="B231">
        <v>218</v>
      </c>
      <c r="C231" s="17">
        <v>9</v>
      </c>
      <c r="D231" s="22" t="s">
        <v>248</v>
      </c>
      <c r="E231" s="90">
        <v>254.33375968949872</v>
      </c>
      <c r="F231" s="5">
        <v>234286.85</v>
      </c>
      <c r="G231" s="5">
        <v>30</v>
      </c>
      <c r="H231" s="5">
        <v>234256.85</v>
      </c>
      <c r="I231" s="58">
        <f t="shared" si="39"/>
        <v>921.06077575383836</v>
      </c>
      <c r="J231">
        <v>365</v>
      </c>
      <c r="K231" s="128" t="str">
        <f t="shared" si="42"/>
        <v>-</v>
      </c>
      <c r="L231" s="96">
        <f t="shared" si="43"/>
        <v>234256.85</v>
      </c>
      <c r="M231" s="96">
        <f t="shared" si="44"/>
        <v>130674.12043627001</v>
      </c>
      <c r="N231" s="60"/>
      <c r="O231" s="60">
        <f>IFERROR(INDEX('Revised 2020 MFAM(2020 PYAs)'!U$20:U$269,MATCH(B231,'Revised 2020 MFAM(2020 PYAs)'!B$20:B$269,0)),0)</f>
        <v>-183.28561898040061</v>
      </c>
      <c r="P231" s="60">
        <f>IFERROR(INDEX('Revised 2020 MFAM(2019 PYAs)'!AF$26:AF$274,MATCH(B231,'Revised 2020 MFAM(2019 PYAs)'!B$26:B$274,0)),0)</f>
        <v>3.7983399624645244</v>
      </c>
      <c r="Q231" s="60">
        <f t="shared" si="45"/>
        <v>-3.6606845197528157</v>
      </c>
      <c r="R231" s="60">
        <f t="shared" si="46"/>
        <v>-183.1479635376889</v>
      </c>
      <c r="S231" s="60"/>
      <c r="T231" s="108">
        <f t="shared" si="51"/>
        <v>130490.97247273232</v>
      </c>
      <c r="U231" s="109">
        <v>1</v>
      </c>
      <c r="V231" s="110">
        <f t="shared" si="40"/>
        <v>-13049.097247273232</v>
      </c>
      <c r="W231" s="60">
        <f t="shared" si="41"/>
        <v>117441.87522545908</v>
      </c>
      <c r="X231" s="62"/>
      <c r="Y231" s="60">
        <f t="shared" si="47"/>
        <v>29360.46880636477</v>
      </c>
      <c r="Z231" s="60">
        <f t="shared" si="48"/>
        <v>29360.46880636477</v>
      </c>
      <c r="AA231" s="60">
        <f t="shared" si="49"/>
        <v>29360.46880636477</v>
      </c>
      <c r="AB231" s="60">
        <f t="shared" si="50"/>
        <v>29360.46880636477</v>
      </c>
    </row>
    <row r="232" spans="2:28" x14ac:dyDescent="0.35">
      <c r="B232">
        <v>230</v>
      </c>
      <c r="C232" s="17">
        <v>9</v>
      </c>
      <c r="D232" s="22" t="s">
        <v>249</v>
      </c>
      <c r="E232" s="90">
        <v>134.06353116317706</v>
      </c>
      <c r="F232" s="5">
        <v>139701.37</v>
      </c>
      <c r="G232" s="5">
        <v>3610.4</v>
      </c>
      <c r="H232" s="5">
        <v>136090.97</v>
      </c>
      <c r="I232" s="58">
        <f t="shared" si="39"/>
        <v>1015.1229705739678</v>
      </c>
      <c r="J232">
        <v>365</v>
      </c>
      <c r="K232" s="128" t="str">
        <f t="shared" si="42"/>
        <v>-</v>
      </c>
      <c r="L232" s="96">
        <f t="shared" si="43"/>
        <v>136090.97</v>
      </c>
      <c r="M232" s="96">
        <f t="shared" si="44"/>
        <v>75914.825133475533</v>
      </c>
      <c r="N232" s="60"/>
      <c r="O232" s="60">
        <f>IFERROR(INDEX('Revised 2020 MFAM(2020 PYAs)'!U$20:U$269,MATCH(B232,'Revised 2020 MFAM(2020 PYAs)'!B$20:B$269,0)),0)</f>
        <v>-104.53105989811593</v>
      </c>
      <c r="P232" s="60">
        <f>IFERROR(INDEX('Revised 2020 MFAM(2019 PYAs)'!AF$26:AF$274,MATCH(B232,'Revised 2020 MFAM(2019 PYAs)'!B$26:B$274,0)),0)</f>
        <v>-0.4223558069425053</v>
      </c>
      <c r="Q232" s="60">
        <f t="shared" si="45"/>
        <v>-2.1266661237745867</v>
      </c>
      <c r="R232" s="60">
        <f t="shared" si="46"/>
        <v>-107.08008182883302</v>
      </c>
      <c r="S232" s="60"/>
      <c r="T232" s="108">
        <f t="shared" si="51"/>
        <v>75807.745051646707</v>
      </c>
      <c r="U232" s="109">
        <v>0</v>
      </c>
      <c r="V232" s="110">
        <f t="shared" si="40"/>
        <v>0</v>
      </c>
      <c r="W232" s="60">
        <f t="shared" si="41"/>
        <v>75807.745051646707</v>
      </c>
      <c r="X232" s="62"/>
      <c r="Y232" s="60">
        <f t="shared" si="47"/>
        <v>18951.936262911677</v>
      </c>
      <c r="Z232" s="60">
        <f t="shared" si="48"/>
        <v>18951.936262911677</v>
      </c>
      <c r="AA232" s="60">
        <f t="shared" si="49"/>
        <v>18951.936262911677</v>
      </c>
      <c r="AB232" s="60">
        <f t="shared" si="50"/>
        <v>18951.936262911677</v>
      </c>
    </row>
    <row r="233" spans="2:28" x14ac:dyDescent="0.35">
      <c r="B233">
        <v>277</v>
      </c>
      <c r="C233" s="17">
        <v>9</v>
      </c>
      <c r="D233" s="22" t="s">
        <v>250</v>
      </c>
      <c r="E233" s="90">
        <v>105.5</v>
      </c>
      <c r="F233" s="5">
        <v>200558.11</v>
      </c>
      <c r="G233" s="5">
        <v>25952.739999999994</v>
      </c>
      <c r="H233" s="5">
        <v>174605.37</v>
      </c>
      <c r="I233" s="58">
        <f t="shared" si="39"/>
        <v>1655.0272037914692</v>
      </c>
      <c r="J233">
        <v>365</v>
      </c>
      <c r="K233" s="128" t="str">
        <f t="shared" si="42"/>
        <v>-</v>
      </c>
      <c r="L233" s="96">
        <f t="shared" si="43"/>
        <v>174605.37</v>
      </c>
      <c r="M233" s="96">
        <f t="shared" si="44"/>
        <v>97399.086294379376</v>
      </c>
      <c r="N233" s="60"/>
      <c r="O233" s="60">
        <f>IFERROR(INDEX('Revised 2020 MFAM(2020 PYAs)'!U$20:U$269,MATCH(B233,'Revised 2020 MFAM(2020 PYAs)'!B$20:B$269,0)),0)</f>
        <v>-170.5580319280125</v>
      </c>
      <c r="P233" s="60">
        <f>IFERROR(INDEX('Revised 2020 MFAM(2019 PYAs)'!AF$26:AF$274,MATCH(B233,'Revised 2020 MFAM(2019 PYAs)'!B$26:B$274,0)),0)</f>
        <v>-0.54235955245530931</v>
      </c>
      <c r="Q233" s="60">
        <f t="shared" si="45"/>
        <v>-2.7285228800127408</v>
      </c>
      <c r="R233" s="60">
        <f t="shared" si="46"/>
        <v>-173.82891436048055</v>
      </c>
      <c r="S233" s="60"/>
      <c r="T233" s="108">
        <f t="shared" si="51"/>
        <v>97225.257380018898</v>
      </c>
      <c r="U233" s="109">
        <v>0</v>
      </c>
      <c r="V233" s="110">
        <f>-$U$11*U233*T233</f>
        <v>0</v>
      </c>
      <c r="W233" s="60">
        <f t="shared" si="41"/>
        <v>97225.257380018898</v>
      </c>
      <c r="X233" s="62"/>
      <c r="Y233" s="60">
        <f t="shared" si="47"/>
        <v>24306.314345004725</v>
      </c>
      <c r="Z233" s="60">
        <f t="shared" si="48"/>
        <v>24306.314345004725</v>
      </c>
      <c r="AA233" s="60">
        <f t="shared" si="49"/>
        <v>24306.314345004725</v>
      </c>
      <c r="AB233" s="60">
        <f t="shared" si="50"/>
        <v>24306.314345004725</v>
      </c>
    </row>
    <row r="234" spans="2:28" x14ac:dyDescent="0.35">
      <c r="B234">
        <v>279</v>
      </c>
      <c r="C234" s="17">
        <v>9</v>
      </c>
      <c r="D234" s="22" t="s">
        <v>251</v>
      </c>
      <c r="E234" s="90">
        <v>279.98123017774839</v>
      </c>
      <c r="F234" s="5">
        <v>181029.69</v>
      </c>
      <c r="G234" s="5">
        <v>0</v>
      </c>
      <c r="H234" s="5">
        <v>181029.69</v>
      </c>
      <c r="I234" s="58">
        <f t="shared" si="39"/>
        <v>646.57795054715564</v>
      </c>
      <c r="J234">
        <v>365</v>
      </c>
      <c r="K234" s="128" t="str">
        <f t="shared" si="42"/>
        <v>-</v>
      </c>
      <c r="L234" s="96">
        <f t="shared" si="43"/>
        <v>181029.69</v>
      </c>
      <c r="M234" s="96">
        <f t="shared" si="44"/>
        <v>100982.72692388984</v>
      </c>
      <c r="N234" s="60"/>
      <c r="O234" s="60">
        <f>IFERROR(INDEX('Revised 2020 MFAM(2020 PYAs)'!U$20:U$269,MATCH(B234,'Revised 2020 MFAM(2020 PYAs)'!B$20:B$269,0)),0)</f>
        <v>-149.8556164525653</v>
      </c>
      <c r="P234" s="60">
        <f>IFERROR(INDEX('Revised 2020 MFAM(2019 PYAs)'!AF$26:AF$274,MATCH(B234,'Revised 2020 MFAM(2019 PYAs)'!B$26:B$274,0)),0)</f>
        <v>-0.76426305303175468</v>
      </c>
      <c r="Q234" s="60">
        <f t="shared" si="45"/>
        <v>-2.8289144321655955</v>
      </c>
      <c r="R234" s="60">
        <f t="shared" si="46"/>
        <v>-153.44879393776264</v>
      </c>
      <c r="S234" s="60"/>
      <c r="T234" s="108">
        <f t="shared" si="51"/>
        <v>100829.27812995209</v>
      </c>
      <c r="U234" s="109">
        <v>0</v>
      </c>
      <c r="V234" s="110">
        <f t="shared" si="40"/>
        <v>0</v>
      </c>
      <c r="W234" s="60">
        <f t="shared" si="41"/>
        <v>100829.27812995209</v>
      </c>
      <c r="X234" s="62"/>
      <c r="Y234" s="60">
        <f t="shared" si="47"/>
        <v>25207.319532488022</v>
      </c>
      <c r="Z234" s="60">
        <f t="shared" si="48"/>
        <v>25207.319532488022</v>
      </c>
      <c r="AA234" s="60">
        <f t="shared" si="49"/>
        <v>25207.319532488022</v>
      </c>
      <c r="AB234" s="60">
        <f t="shared" si="50"/>
        <v>25207.319532488022</v>
      </c>
    </row>
    <row r="235" spans="2:28" x14ac:dyDescent="0.35">
      <c r="B235">
        <v>331</v>
      </c>
      <c r="C235" s="17">
        <v>9</v>
      </c>
      <c r="D235" s="22" t="s">
        <v>252</v>
      </c>
      <c r="E235" s="90">
        <v>385.99311469332565</v>
      </c>
      <c r="F235" s="5">
        <v>199859.20000000001</v>
      </c>
      <c r="G235" s="5">
        <v>0</v>
      </c>
      <c r="H235" s="5">
        <v>199859.20000000001</v>
      </c>
      <c r="I235" s="58">
        <f t="shared" si="39"/>
        <v>517.77918411521307</v>
      </c>
      <c r="J235">
        <v>365</v>
      </c>
      <c r="K235" s="128" t="str">
        <f t="shared" si="42"/>
        <v>-</v>
      </c>
      <c r="L235" s="96">
        <f t="shared" si="43"/>
        <v>199859.20000000001</v>
      </c>
      <c r="M235" s="96">
        <f t="shared" si="44"/>
        <v>111486.28170786287</v>
      </c>
      <c r="N235" s="60"/>
      <c r="O235" s="60">
        <f>IFERROR(INDEX('Revised 2020 MFAM(2020 PYAs)'!U$20:U$269,MATCH(B235,'Revised 2020 MFAM(2020 PYAs)'!B$20:B$269,0)),0)</f>
        <v>-144.59051041668863</v>
      </c>
      <c r="P235" s="60">
        <f>IFERROR(INDEX('Revised 2020 MFAM(2019 PYAs)'!AF$26:AF$274,MATCH(B235,'Revised 2020 MFAM(2019 PYAs)'!B$26:B$274,0)),0)</f>
        <v>-0.71687516213569324</v>
      </c>
      <c r="Q235" s="60">
        <f t="shared" si="45"/>
        <v>-3.1231593849664669</v>
      </c>
      <c r="R235" s="60">
        <f t="shared" si="46"/>
        <v>-148.43054496379079</v>
      </c>
      <c r="S235" s="60"/>
      <c r="T235" s="108">
        <f t="shared" si="51"/>
        <v>111337.85116289908</v>
      </c>
      <c r="U235" s="109">
        <v>0</v>
      </c>
      <c r="V235" s="110">
        <f t="shared" si="40"/>
        <v>0</v>
      </c>
      <c r="W235" s="60">
        <f t="shared" si="41"/>
        <v>111337.85116289908</v>
      </c>
      <c r="X235" s="62"/>
      <c r="Y235" s="60">
        <f t="shared" si="47"/>
        <v>27834.46279072477</v>
      </c>
      <c r="Z235" s="60">
        <f t="shared" si="48"/>
        <v>27834.46279072477</v>
      </c>
      <c r="AA235" s="60">
        <f t="shared" si="49"/>
        <v>27834.46279072477</v>
      </c>
      <c r="AB235" s="60">
        <f t="shared" si="50"/>
        <v>27834.46279072477</v>
      </c>
    </row>
    <row r="236" spans="2:28" x14ac:dyDescent="0.35">
      <c r="B236">
        <v>369</v>
      </c>
      <c r="C236" s="17">
        <v>9</v>
      </c>
      <c r="D236" s="22" t="s">
        <v>253</v>
      </c>
      <c r="E236" s="90">
        <v>439.63</v>
      </c>
      <c r="F236" s="5">
        <v>378043.06</v>
      </c>
      <c r="G236" s="5">
        <v>0</v>
      </c>
      <c r="H236" s="5">
        <v>378043.06</v>
      </c>
      <c r="I236" s="58">
        <f t="shared" si="39"/>
        <v>859.91188044491957</v>
      </c>
      <c r="J236">
        <v>365</v>
      </c>
      <c r="K236" s="128" t="str">
        <f t="shared" si="42"/>
        <v>-</v>
      </c>
      <c r="L236" s="96">
        <f t="shared" si="43"/>
        <v>378043.06</v>
      </c>
      <c r="M236" s="96">
        <f t="shared" si="44"/>
        <v>210881.53602567461</v>
      </c>
      <c r="N236" s="60"/>
      <c r="O236" s="60">
        <f>IFERROR(INDEX('Revised 2020 MFAM(2020 PYAs)'!U$20:U$269,MATCH(B236,'Revised 2020 MFAM(2020 PYAs)'!B$20:B$269,0)),0)</f>
        <v>-368.80716063998989</v>
      </c>
      <c r="P236" s="60">
        <f>IFERROR(INDEX('Revised 2020 MFAM(2019 PYAs)'!AF$26:AF$274,MATCH(B236,'Revised 2020 MFAM(2019 PYAs)'!B$26:B$274,0)),0)</f>
        <v>-2.0201119099219795</v>
      </c>
      <c r="Q236" s="60">
        <f t="shared" si="45"/>
        <v>-5.9076026060368561</v>
      </c>
      <c r="R236" s="60">
        <f t="shared" si="46"/>
        <v>-376.73487515594871</v>
      </c>
      <c r="S236" s="60"/>
      <c r="T236" s="108">
        <f t="shared" si="51"/>
        <v>210504.80115051864</v>
      </c>
      <c r="U236" s="109">
        <v>0</v>
      </c>
      <c r="V236" s="110">
        <f t="shared" si="40"/>
        <v>0</v>
      </c>
      <c r="W236" s="60">
        <f t="shared" si="41"/>
        <v>210504.80115051864</v>
      </c>
      <c r="X236" s="62"/>
      <c r="Y236" s="60">
        <f t="shared" si="47"/>
        <v>52626.200287629661</v>
      </c>
      <c r="Z236" s="60">
        <f t="shared" si="48"/>
        <v>52626.200287629661</v>
      </c>
      <c r="AA236" s="60">
        <f t="shared" si="49"/>
        <v>52626.200287629661</v>
      </c>
      <c r="AB236" s="60">
        <f t="shared" si="50"/>
        <v>52626.200287629661</v>
      </c>
    </row>
    <row r="237" spans="2:28" x14ac:dyDescent="0.35">
      <c r="B237">
        <v>416</v>
      </c>
      <c r="C237" s="17">
        <v>9</v>
      </c>
      <c r="D237" s="22" t="s">
        <v>254</v>
      </c>
      <c r="E237" s="90">
        <v>0</v>
      </c>
      <c r="F237" s="5">
        <v>44314.98</v>
      </c>
      <c r="G237" s="5">
        <v>0</v>
      </c>
      <c r="H237" s="5">
        <v>44314.98</v>
      </c>
      <c r="I237" s="58" t="str">
        <f t="shared" si="39"/>
        <v>n.a.</v>
      </c>
      <c r="J237">
        <v>365</v>
      </c>
      <c r="K237" s="128" t="str">
        <f t="shared" si="42"/>
        <v>-</v>
      </c>
      <c r="L237" s="96">
        <f t="shared" si="43"/>
        <v>44314.98</v>
      </c>
      <c r="M237" s="96">
        <f t="shared" si="44"/>
        <v>24719.964575852948</v>
      </c>
      <c r="N237" s="60"/>
      <c r="O237" s="60">
        <f>IFERROR(INDEX('Revised 2020 MFAM(2020 PYAs)'!U$20:U$269,MATCH(B237,'Revised 2020 MFAM(2020 PYAs)'!B$20:B$269,0)),0)</f>
        <v>-71.911980948490964</v>
      </c>
      <c r="P237" s="60">
        <f>IFERROR(INDEX('Revised 2020 MFAM(2019 PYAs)'!AF$26:AF$274,MATCH(B237,'Revised 2020 MFAM(2019 PYAs)'!B$26:B$274,0)),0)</f>
        <v>-0.28770601348151104</v>
      </c>
      <c r="Q237" s="60">
        <f t="shared" si="45"/>
        <v>-0.69250124928750489</v>
      </c>
      <c r="R237" s="60">
        <f t="shared" si="46"/>
        <v>-72.892188211259977</v>
      </c>
      <c r="S237" s="60"/>
      <c r="T237" s="108">
        <f t="shared" si="51"/>
        <v>24647.072387641689</v>
      </c>
      <c r="U237" s="109">
        <v>0</v>
      </c>
      <c r="V237" s="110">
        <f t="shared" si="40"/>
        <v>0</v>
      </c>
      <c r="W237" s="60">
        <f t="shared" si="41"/>
        <v>24647.072387641689</v>
      </c>
      <c r="X237" s="62"/>
      <c r="Y237" s="60">
        <f t="shared" si="47"/>
        <v>6161.7680969104222</v>
      </c>
      <c r="Z237" s="60">
        <f t="shared" si="48"/>
        <v>6161.7680969104222</v>
      </c>
      <c r="AA237" s="60">
        <f t="shared" si="49"/>
        <v>6161.7680969104222</v>
      </c>
      <c r="AB237" s="60">
        <f t="shared" si="50"/>
        <v>6161.7680969104222</v>
      </c>
    </row>
    <row r="238" spans="2:28" x14ac:dyDescent="0.35">
      <c r="B238">
        <v>420</v>
      </c>
      <c r="C238" s="17">
        <v>9</v>
      </c>
      <c r="D238" s="22" t="s">
        <v>255</v>
      </c>
      <c r="E238" s="90">
        <v>404.27215726934816</v>
      </c>
      <c r="F238" s="5">
        <v>449520</v>
      </c>
      <c r="G238" s="5">
        <v>81.459999999999994</v>
      </c>
      <c r="H238" s="5">
        <v>449438.54</v>
      </c>
      <c r="I238" s="58">
        <f t="shared" si="39"/>
        <v>1111.7227143113878</v>
      </c>
      <c r="J238">
        <v>365</v>
      </c>
      <c r="K238" s="128" t="str">
        <f t="shared" si="42"/>
        <v>-</v>
      </c>
      <c r="L238" s="96">
        <f t="shared" si="43"/>
        <v>449438.54</v>
      </c>
      <c r="M238" s="96">
        <f t="shared" si="44"/>
        <v>250707.65659429535</v>
      </c>
      <c r="N238" s="60"/>
      <c r="O238" s="60">
        <f>IFERROR(INDEX('Revised 2020 MFAM(2020 PYAs)'!U$20:U$269,MATCH(B238,'Revised 2020 MFAM(2020 PYAs)'!B$20:B$269,0)),0)</f>
        <v>-305.91193021467188</v>
      </c>
      <c r="P238" s="60">
        <f>IFERROR(INDEX('Revised 2020 MFAM(2019 PYAs)'!AF$26:AF$274,MATCH(B238,'Revised 2020 MFAM(2019 PYAs)'!B$26:B$274,0)),0)</f>
        <v>-0.79572379344608635</v>
      </c>
      <c r="Q238" s="60">
        <f t="shared" si="45"/>
        <v>-7.0232853637292001</v>
      </c>
      <c r="R238" s="60">
        <f t="shared" si="46"/>
        <v>-313.73093937184717</v>
      </c>
      <c r="S238" s="60"/>
      <c r="T238" s="108">
        <f t="shared" si="51"/>
        <v>250393.92565492349</v>
      </c>
      <c r="U238" s="109">
        <v>0</v>
      </c>
      <c r="V238" s="110">
        <f t="shared" si="40"/>
        <v>0</v>
      </c>
      <c r="W238" s="60">
        <f t="shared" si="41"/>
        <v>250393.92565492349</v>
      </c>
      <c r="X238" s="62"/>
      <c r="Y238" s="60">
        <f t="shared" si="47"/>
        <v>62598.481413730871</v>
      </c>
      <c r="Z238" s="60">
        <f t="shared" si="48"/>
        <v>62598.481413730871</v>
      </c>
      <c r="AA238" s="60">
        <f t="shared" si="49"/>
        <v>62598.481413730871</v>
      </c>
      <c r="AB238" s="60">
        <f t="shared" si="50"/>
        <v>62598.481413730871</v>
      </c>
    </row>
    <row r="239" spans="2:28" x14ac:dyDescent="0.35">
      <c r="B239">
        <v>508</v>
      </c>
      <c r="C239" s="17">
        <v>9</v>
      </c>
      <c r="D239" s="22" t="s">
        <v>256</v>
      </c>
      <c r="E239" s="90">
        <v>43.529627469109329</v>
      </c>
      <c r="F239" s="5">
        <v>137380.19</v>
      </c>
      <c r="G239" s="5">
        <v>0</v>
      </c>
      <c r="H239" s="5">
        <v>137380.19</v>
      </c>
      <c r="I239" s="58">
        <f t="shared" si="39"/>
        <v>3156.0157526615967</v>
      </c>
      <c r="J239">
        <v>365</v>
      </c>
      <c r="K239" s="128" t="str">
        <f t="shared" si="42"/>
        <v>-</v>
      </c>
      <c r="L239" s="96">
        <f t="shared" si="43"/>
        <v>137380.19</v>
      </c>
      <c r="M239" s="96">
        <f t="shared" si="44"/>
        <v>76633.983141230055</v>
      </c>
      <c r="N239" s="60"/>
      <c r="O239" s="60">
        <f>IFERROR(INDEX('Revised 2020 MFAM(2020 PYAs)'!U$20:U$269,MATCH(B239,'Revised 2020 MFAM(2020 PYAs)'!B$20:B$269,0)),0)</f>
        <v>-80.701711006498954</v>
      </c>
      <c r="P239" s="60">
        <f>IFERROR(INDEX('Revised 2020 MFAM(2019 PYAs)'!AF$26:AF$274,MATCH(B239,'Revised 2020 MFAM(2019 PYAs)'!B$26:B$274,0)),0)</f>
        <v>-0.3505334844776371</v>
      </c>
      <c r="Q239" s="60">
        <f t="shared" si="45"/>
        <v>-2.1468125045380768</v>
      </c>
      <c r="R239" s="60">
        <f t="shared" si="46"/>
        <v>-83.199056995514667</v>
      </c>
      <c r="S239" s="60"/>
      <c r="T239" s="108">
        <f t="shared" si="51"/>
        <v>76550.784084234547</v>
      </c>
      <c r="U239" s="109">
        <v>0</v>
      </c>
      <c r="V239" s="110">
        <f t="shared" si="40"/>
        <v>0</v>
      </c>
      <c r="W239" s="60">
        <f t="shared" si="41"/>
        <v>76550.784084234547</v>
      </c>
      <c r="X239" s="62"/>
      <c r="Y239" s="60">
        <f t="shared" si="47"/>
        <v>19137.696021058637</v>
      </c>
      <c r="Z239" s="60">
        <f t="shared" si="48"/>
        <v>19137.696021058637</v>
      </c>
      <c r="AA239" s="60">
        <f t="shared" si="49"/>
        <v>19137.696021058637</v>
      </c>
      <c r="AB239" s="60">
        <f t="shared" si="50"/>
        <v>19137.696021058637</v>
      </c>
    </row>
    <row r="240" spans="2:28" x14ac:dyDescent="0.35">
      <c r="B240">
        <v>512</v>
      </c>
      <c r="C240" s="17">
        <v>9</v>
      </c>
      <c r="D240" s="22" t="s">
        <v>257</v>
      </c>
      <c r="E240" s="90">
        <v>193.25540113024249</v>
      </c>
      <c r="F240" s="5">
        <v>248859.88</v>
      </c>
      <c r="G240" s="5">
        <v>14461.329999999998</v>
      </c>
      <c r="H240" s="5">
        <v>234398.55000000002</v>
      </c>
      <c r="I240" s="58">
        <f t="shared" si="39"/>
        <v>1212.895208253608</v>
      </c>
      <c r="J240">
        <v>365</v>
      </c>
      <c r="K240" s="128" t="str">
        <f t="shared" si="42"/>
        <v>-</v>
      </c>
      <c r="L240" s="96">
        <f t="shared" si="43"/>
        <v>234398.55</v>
      </c>
      <c r="M240" s="96">
        <f t="shared" si="44"/>
        <v>130753.16411360887</v>
      </c>
      <c r="N240" s="60"/>
      <c r="O240" s="60">
        <f>IFERROR(INDEX('Revised 2020 MFAM(2020 PYAs)'!U$20:U$269,MATCH(B240,'Revised 2020 MFAM(2020 PYAs)'!B$20:B$269,0)),0)</f>
        <v>-226.915967197594</v>
      </c>
      <c r="P240" s="60">
        <f>IFERROR(INDEX('Revised 2020 MFAM(2019 PYAs)'!AF$26:AF$274,MATCH(B240,'Revised 2020 MFAM(2019 PYAs)'!B$26:B$274,0)),0)</f>
        <v>-1.2385661647422239</v>
      </c>
      <c r="Q240" s="60">
        <f t="shared" si="45"/>
        <v>-3.6628988370564457</v>
      </c>
      <c r="R240" s="60">
        <f t="shared" si="46"/>
        <v>-231.81743219939267</v>
      </c>
      <c r="S240" s="60"/>
      <c r="T240" s="108">
        <f t="shared" si="51"/>
        <v>130521.34668140949</v>
      </c>
      <c r="U240" s="109">
        <v>0</v>
      </c>
      <c r="V240" s="110">
        <f t="shared" si="40"/>
        <v>0</v>
      </c>
      <c r="W240" s="60">
        <f t="shared" si="41"/>
        <v>130521.34668140949</v>
      </c>
      <c r="X240" s="62"/>
      <c r="Y240" s="60">
        <f t="shared" si="47"/>
        <v>32630.336670352372</v>
      </c>
      <c r="Z240" s="60">
        <f t="shared" si="48"/>
        <v>32630.336670352372</v>
      </c>
      <c r="AA240" s="60">
        <f t="shared" si="49"/>
        <v>32630.336670352372</v>
      </c>
      <c r="AB240" s="60">
        <f t="shared" si="50"/>
        <v>32630.336670352372</v>
      </c>
    </row>
    <row r="241" spans="2:28" x14ac:dyDescent="0.35">
      <c r="B241">
        <v>516</v>
      </c>
      <c r="C241" s="17">
        <v>9</v>
      </c>
      <c r="D241" s="22" t="s">
        <v>258</v>
      </c>
      <c r="E241" s="90">
        <v>306.54123468268568</v>
      </c>
      <c r="F241" s="5">
        <v>215671.97</v>
      </c>
      <c r="G241" s="5">
        <v>16.02</v>
      </c>
      <c r="H241" s="5">
        <v>215655.95</v>
      </c>
      <c r="I241" s="58">
        <f t="shared" si="39"/>
        <v>703.51367320365557</v>
      </c>
      <c r="J241">
        <v>365</v>
      </c>
      <c r="K241" s="128" t="str">
        <f t="shared" si="42"/>
        <v>-</v>
      </c>
      <c r="L241" s="96">
        <f t="shared" si="43"/>
        <v>215655.95</v>
      </c>
      <c r="M241" s="96">
        <f t="shared" si="44"/>
        <v>120298.08982361978</v>
      </c>
      <c r="N241" s="60"/>
      <c r="O241" s="60">
        <f>IFERROR(INDEX('Revised 2020 MFAM(2020 PYAs)'!U$20:U$269,MATCH(B241,'Revised 2020 MFAM(2020 PYAs)'!B$20:B$269,0)),0)</f>
        <v>-126.34977234023972</v>
      </c>
      <c r="P241" s="60">
        <f>IFERROR(INDEX('Revised 2020 MFAM(2019 PYAs)'!AF$26:AF$274,MATCH(B241,'Revised 2020 MFAM(2019 PYAs)'!B$26:B$274,0)),0)</f>
        <v>-0.72007097452296875</v>
      </c>
      <c r="Q241" s="60">
        <f t="shared" si="45"/>
        <v>-3.3700120092863335</v>
      </c>
      <c r="R241" s="60">
        <f t="shared" si="46"/>
        <v>-130.43985532404903</v>
      </c>
      <c r="S241" s="60"/>
      <c r="T241" s="108">
        <f t="shared" si="51"/>
        <v>120167.64996829574</v>
      </c>
      <c r="U241" s="109">
        <v>0</v>
      </c>
      <c r="V241" s="110">
        <f t="shared" si="40"/>
        <v>0</v>
      </c>
      <c r="W241" s="60">
        <f t="shared" si="41"/>
        <v>120167.64996829574</v>
      </c>
      <c r="X241" s="62"/>
      <c r="Y241" s="60">
        <f t="shared" si="47"/>
        <v>30041.912492073934</v>
      </c>
      <c r="Z241" s="60">
        <f t="shared" si="48"/>
        <v>30041.912492073934</v>
      </c>
      <c r="AA241" s="60">
        <f t="shared" si="49"/>
        <v>30041.912492073934</v>
      </c>
      <c r="AB241" s="60">
        <f t="shared" si="50"/>
        <v>30041.912492073934</v>
      </c>
    </row>
    <row r="242" spans="2:28" x14ac:dyDescent="0.35">
      <c r="B242">
        <v>521</v>
      </c>
      <c r="C242" s="17">
        <v>9</v>
      </c>
      <c r="D242" s="22" t="s">
        <v>259</v>
      </c>
      <c r="E242" s="90">
        <v>134.68651111687728</v>
      </c>
      <c r="F242" s="5">
        <v>342832.44</v>
      </c>
      <c r="G242" s="5">
        <v>429.75</v>
      </c>
      <c r="H242" s="5">
        <v>342402.69</v>
      </c>
      <c r="I242" s="58">
        <f t="shared" si="39"/>
        <v>2542.2196117536396</v>
      </c>
      <c r="J242">
        <v>365</v>
      </c>
      <c r="K242" s="128" t="str">
        <f t="shared" si="42"/>
        <v>-</v>
      </c>
      <c r="L242" s="96">
        <f t="shared" si="43"/>
        <v>342402.69</v>
      </c>
      <c r="M242" s="96">
        <f t="shared" si="44"/>
        <v>191000.47811094031</v>
      </c>
      <c r="N242" s="60"/>
      <c r="O242" s="60">
        <f>IFERROR(INDEX('Revised 2020 MFAM(2020 PYAs)'!U$20:U$269,MATCH(B242,'Revised 2020 MFAM(2020 PYAs)'!B$20:B$269,0)),0)</f>
        <v>-312.69600461324444</v>
      </c>
      <c r="P242" s="60">
        <f>IFERROR(INDEX('Revised 2020 MFAM(2019 PYAs)'!AF$26:AF$274,MATCH(B242,'Revised 2020 MFAM(2019 PYAs)'!B$26:B$274,0)),0)</f>
        <v>-0.9377479795657564</v>
      </c>
      <c r="Q242" s="60">
        <f t="shared" si="45"/>
        <v>-5.3506577366028889</v>
      </c>
      <c r="R242" s="60">
        <f t="shared" si="46"/>
        <v>-318.98441032941309</v>
      </c>
      <c r="S242" s="60"/>
      <c r="T242" s="108">
        <f t="shared" si="51"/>
        <v>190681.49370061091</v>
      </c>
      <c r="U242" s="109">
        <v>0</v>
      </c>
      <c r="V242" s="110">
        <f t="shared" si="40"/>
        <v>0</v>
      </c>
      <c r="W242" s="60">
        <f t="shared" si="41"/>
        <v>190681.49370061091</v>
      </c>
      <c r="X242" s="62"/>
      <c r="Y242" s="60">
        <f t="shared" si="47"/>
        <v>47670.373425152728</v>
      </c>
      <c r="Z242" s="60">
        <f t="shared" si="48"/>
        <v>47670.373425152728</v>
      </c>
      <c r="AA242" s="60">
        <f t="shared" si="49"/>
        <v>47670.373425152728</v>
      </c>
      <c r="AB242" s="60">
        <f t="shared" si="50"/>
        <v>47670.373425152728</v>
      </c>
    </row>
    <row r="243" spans="2:28" x14ac:dyDescent="0.35">
      <c r="B243">
        <v>522</v>
      </c>
      <c r="C243" s="17">
        <v>9</v>
      </c>
      <c r="D243" s="22" t="s">
        <v>260</v>
      </c>
      <c r="E243" s="90">
        <v>85.76942320309287</v>
      </c>
      <c r="F243" s="5">
        <v>114132.28</v>
      </c>
      <c r="G243" s="5">
        <v>18</v>
      </c>
      <c r="H243" s="5">
        <v>114114.28</v>
      </c>
      <c r="I243" s="58">
        <f t="shared" si="39"/>
        <v>1330.4774095284461</v>
      </c>
      <c r="J243">
        <v>365</v>
      </c>
      <c r="K243" s="128" t="str">
        <f t="shared" si="42"/>
        <v>-</v>
      </c>
      <c r="L243" s="96">
        <f t="shared" si="43"/>
        <v>114114.28000000001</v>
      </c>
      <c r="M243" s="96">
        <f t="shared" si="44"/>
        <v>63655.697445851591</v>
      </c>
      <c r="N243" s="60"/>
      <c r="O243" s="60">
        <f>IFERROR(INDEX('Revised 2020 MFAM(2020 PYAs)'!U$20:U$269,MATCH(B243,'Revised 2020 MFAM(2020 PYAs)'!B$20:B$269,0)),0)</f>
        <v>-106.74856351706694</v>
      </c>
      <c r="P243" s="60">
        <f>IFERROR(INDEX('Revised 2020 MFAM(2019 PYAs)'!AF$26:AF$274,MATCH(B243,'Revised 2020 MFAM(2019 PYAs)'!B$26:B$274,0)),0)</f>
        <v>-0.54880518108257093</v>
      </c>
      <c r="Q243" s="60">
        <f t="shared" si="45"/>
        <v>-1.7832408242437237</v>
      </c>
      <c r="R243" s="60">
        <f t="shared" si="46"/>
        <v>-109.08060952239323</v>
      </c>
      <c r="S243" s="60"/>
      <c r="T243" s="108">
        <f t="shared" si="51"/>
        <v>63546.616836329194</v>
      </c>
      <c r="U243" s="109">
        <v>0</v>
      </c>
      <c r="V243" s="110">
        <f t="shared" si="40"/>
        <v>0</v>
      </c>
      <c r="W243" s="60">
        <f t="shared" si="41"/>
        <v>63546.616836329194</v>
      </c>
      <c r="X243" s="62"/>
      <c r="Y243" s="60">
        <f t="shared" si="47"/>
        <v>15886.654209082299</v>
      </c>
      <c r="Z243" s="60">
        <f t="shared" si="48"/>
        <v>15886.654209082299</v>
      </c>
      <c r="AA243" s="60">
        <f t="shared" si="49"/>
        <v>15886.654209082299</v>
      </c>
      <c r="AB243" s="60">
        <f t="shared" si="50"/>
        <v>15886.654209082299</v>
      </c>
    </row>
    <row r="244" spans="2:28" x14ac:dyDescent="0.35">
      <c r="B244">
        <v>523</v>
      </c>
      <c r="C244" s="17">
        <v>9</v>
      </c>
      <c r="D244" s="22" t="s">
        <v>261</v>
      </c>
      <c r="E244" s="90">
        <v>636.36086115645116</v>
      </c>
      <c r="F244" s="5">
        <v>415326.48</v>
      </c>
      <c r="G244" s="5">
        <v>1339.11</v>
      </c>
      <c r="H244" s="5">
        <v>413987.37</v>
      </c>
      <c r="I244" s="58">
        <f t="shared" si="39"/>
        <v>650.55441852232332</v>
      </c>
      <c r="J244">
        <v>365</v>
      </c>
      <c r="K244" s="128" t="str">
        <f t="shared" si="42"/>
        <v>-</v>
      </c>
      <c r="L244" s="96">
        <f t="shared" si="43"/>
        <v>413987.37000000005</v>
      </c>
      <c r="M244" s="96">
        <f t="shared" si="44"/>
        <v>230932.13900244402</v>
      </c>
      <c r="N244" s="60"/>
      <c r="O244" s="60">
        <f>IFERROR(INDEX('Revised 2020 MFAM(2020 PYAs)'!U$20:U$269,MATCH(B244,'Revised 2020 MFAM(2020 PYAs)'!B$20:B$269,0)),0)</f>
        <v>-298.57494052525726</v>
      </c>
      <c r="P244" s="60">
        <f>IFERROR(INDEX('Revised 2020 MFAM(2019 PYAs)'!AF$26:AF$274,MATCH(B244,'Revised 2020 MFAM(2019 PYAs)'!B$26:B$274,0)),0)</f>
        <v>-1.4500600682513323</v>
      </c>
      <c r="Q244" s="60">
        <f t="shared" si="45"/>
        <v>-6.4692970845129238</v>
      </c>
      <c r="R244" s="60">
        <f t="shared" si="46"/>
        <v>-306.4942976780215</v>
      </c>
      <c r="S244" s="60"/>
      <c r="T244" s="108">
        <f t="shared" si="51"/>
        <v>230625.64470476599</v>
      </c>
      <c r="U244" s="109">
        <v>0</v>
      </c>
      <c r="V244" s="110">
        <f t="shared" si="40"/>
        <v>0</v>
      </c>
      <c r="W244" s="60">
        <f t="shared" si="41"/>
        <v>230625.64470476599</v>
      </c>
      <c r="X244" s="62"/>
      <c r="Y244" s="60">
        <f t="shared" si="47"/>
        <v>57656.411176191497</v>
      </c>
      <c r="Z244" s="60">
        <f t="shared" si="48"/>
        <v>57656.411176191497</v>
      </c>
      <c r="AA244" s="60">
        <f t="shared" si="49"/>
        <v>57656.411176191497</v>
      </c>
      <c r="AB244" s="60">
        <f t="shared" si="50"/>
        <v>57656.411176191497</v>
      </c>
    </row>
    <row r="245" spans="2:28" x14ac:dyDescent="0.35">
      <c r="B245">
        <v>527</v>
      </c>
      <c r="C245" s="17">
        <v>9</v>
      </c>
      <c r="D245" s="22" t="s">
        <v>262</v>
      </c>
      <c r="E245" s="90">
        <v>139.82828932629033</v>
      </c>
      <c r="F245" s="5">
        <v>147236.74</v>
      </c>
      <c r="G245" s="5">
        <v>0</v>
      </c>
      <c r="H245" s="5">
        <v>147236.74</v>
      </c>
      <c r="I245" s="58">
        <f t="shared" si="39"/>
        <v>1052.9824880888157</v>
      </c>
      <c r="J245">
        <v>365</v>
      </c>
      <c r="K245" s="128" t="str">
        <f t="shared" si="42"/>
        <v>-</v>
      </c>
      <c r="L245" s="96">
        <f t="shared" si="43"/>
        <v>147236.74</v>
      </c>
      <c r="M245" s="96">
        <f t="shared" si="44"/>
        <v>82132.204438861765</v>
      </c>
      <c r="N245" s="60"/>
      <c r="O245" s="60">
        <f>IFERROR(INDEX('Revised 2020 MFAM(2020 PYAs)'!U$20:U$269,MATCH(B245,'Revised 2020 MFAM(2020 PYAs)'!B$20:B$269,0)),0)</f>
        <v>-111.24604432781052</v>
      </c>
      <c r="P245" s="60">
        <f>IFERROR(INDEX('Revised 2020 MFAM(2019 PYAs)'!AF$26:AF$274,MATCH(B245,'Revised 2020 MFAM(2019 PYAs)'!B$26:B$274,0)),0)</f>
        <v>-0.61138193215447245</v>
      </c>
      <c r="Q245" s="60">
        <f t="shared" si="45"/>
        <v>-2.3008388222451988</v>
      </c>
      <c r="R245" s="60">
        <f t="shared" si="46"/>
        <v>-114.15826508221019</v>
      </c>
      <c r="S245" s="60"/>
      <c r="T245" s="108">
        <f t="shared" si="51"/>
        <v>82018.046173779556</v>
      </c>
      <c r="U245" s="109">
        <v>0</v>
      </c>
      <c r="V245" s="110">
        <f t="shared" si="40"/>
        <v>0</v>
      </c>
      <c r="W245" s="60">
        <f t="shared" si="41"/>
        <v>82018.046173779556</v>
      </c>
      <c r="X245" s="62"/>
      <c r="Y245" s="60">
        <f t="shared" si="47"/>
        <v>20504.511543444889</v>
      </c>
      <c r="Z245" s="60">
        <f t="shared" si="48"/>
        <v>20504.511543444889</v>
      </c>
      <c r="AA245" s="60">
        <f t="shared" si="49"/>
        <v>20504.511543444889</v>
      </c>
      <c r="AB245" s="60">
        <f t="shared" si="50"/>
        <v>20504.511543444889</v>
      </c>
    </row>
    <row r="246" spans="2:28" x14ac:dyDescent="0.35">
      <c r="B246">
        <v>543</v>
      </c>
      <c r="C246" s="17">
        <v>9</v>
      </c>
      <c r="D246" s="22" t="s">
        <v>263</v>
      </c>
      <c r="E246" s="90">
        <v>82.698395262317163</v>
      </c>
      <c r="F246" s="5">
        <v>70123.34</v>
      </c>
      <c r="G246" s="5">
        <v>0</v>
      </c>
      <c r="H246" s="5">
        <v>70123.34</v>
      </c>
      <c r="I246" s="58">
        <f t="shared" si="39"/>
        <v>847.94075843395251</v>
      </c>
      <c r="J246">
        <v>243</v>
      </c>
      <c r="K246" s="128">
        <f t="shared" si="42"/>
        <v>45170</v>
      </c>
      <c r="L246" s="96">
        <f t="shared" si="43"/>
        <v>46684.85375342465</v>
      </c>
      <c r="M246" s="96">
        <f t="shared" si="44"/>
        <v>26041.937309088997</v>
      </c>
      <c r="N246" s="60"/>
      <c r="O246" s="60">
        <f>IFERROR(INDEX('Revised 2020 MFAM(2020 PYAs)'!U$20:U$269,MATCH(B246,'Revised 2020 MFAM(2020 PYAs)'!B$20:B$269,0)),0)</f>
        <v>-70.855437024125422</v>
      </c>
      <c r="P246" s="60">
        <f>IFERROR(INDEX('Revised 2020 MFAM(2019 PYAs)'!AF$26:AF$274,MATCH(B246,'Revised 2020 MFAM(2019 PYAs)'!B$26:B$274,0)),0)</f>
        <v>-0.19124291847037966</v>
      </c>
      <c r="Q246" s="60">
        <f t="shared" si="45"/>
        <v>-0.72953478816984751</v>
      </c>
      <c r="R246" s="60">
        <f t="shared" si="46"/>
        <v>-71.776214730765645</v>
      </c>
      <c r="S246" s="60"/>
      <c r="T246" s="108">
        <f t="shared" si="51"/>
        <v>25970.161094358231</v>
      </c>
      <c r="U246" s="109">
        <v>0</v>
      </c>
      <c r="V246" s="110">
        <f t="shared" si="40"/>
        <v>0</v>
      </c>
      <c r="W246" s="60">
        <f t="shared" si="41"/>
        <v>25970.161094358231</v>
      </c>
      <c r="X246" s="62"/>
      <c r="Y246" s="60">
        <f t="shared" si="47"/>
        <v>12985.080547179115</v>
      </c>
      <c r="Z246" s="60">
        <f t="shared" si="48"/>
        <v>12985.080547179115</v>
      </c>
      <c r="AA246" s="60">
        <f t="shared" si="49"/>
        <v>0</v>
      </c>
      <c r="AB246" s="60">
        <f t="shared" si="50"/>
        <v>0</v>
      </c>
    </row>
    <row r="247" spans="2:28" x14ac:dyDescent="0.35">
      <c r="B247">
        <v>547</v>
      </c>
      <c r="C247" s="17">
        <v>9</v>
      </c>
      <c r="D247" s="22" t="s">
        <v>264</v>
      </c>
      <c r="E247" s="90">
        <v>235.27583772559919</v>
      </c>
      <c r="F247" s="5">
        <v>155772.91</v>
      </c>
      <c r="G247" s="5">
        <v>0</v>
      </c>
      <c r="H247" s="5">
        <v>155772.91</v>
      </c>
      <c r="I247" s="58">
        <f t="shared" si="39"/>
        <v>662.08630476401504</v>
      </c>
      <c r="J247">
        <v>365</v>
      </c>
      <c r="K247" s="128" t="str">
        <f t="shared" si="42"/>
        <v>-</v>
      </c>
      <c r="L247" s="96">
        <f t="shared" si="43"/>
        <v>155772.91</v>
      </c>
      <c r="M247" s="96">
        <f t="shared" si="44"/>
        <v>86893.885929262047</v>
      </c>
      <c r="N247" s="60"/>
      <c r="O247" s="60">
        <f>IFERROR(INDEX('Revised 2020 MFAM(2020 PYAs)'!U$20:U$269,MATCH(B247,'Revised 2020 MFAM(2020 PYAs)'!B$20:B$269,0)),0)</f>
        <v>-145.16111498470127</v>
      </c>
      <c r="P247" s="60">
        <f>IFERROR(INDEX('Revised 2020 MFAM(2019 PYAs)'!AF$26:AF$274,MATCH(B247,'Revised 2020 MFAM(2019 PYAs)'!B$26:B$274,0)),0)</f>
        <v>-0.58436315281869611</v>
      </c>
      <c r="Q247" s="60">
        <f t="shared" si="45"/>
        <v>-2.4342318281572068</v>
      </c>
      <c r="R247" s="60">
        <f t="shared" si="46"/>
        <v>-148.17970996567718</v>
      </c>
      <c r="S247" s="60"/>
      <c r="T247" s="108">
        <f t="shared" si="51"/>
        <v>86745.706219296364</v>
      </c>
      <c r="U247" s="109">
        <v>0</v>
      </c>
      <c r="V247" s="110">
        <f t="shared" si="40"/>
        <v>0</v>
      </c>
      <c r="W247" s="60">
        <f t="shared" si="41"/>
        <v>86745.706219296364</v>
      </c>
      <c r="X247" s="62"/>
      <c r="Y247" s="60">
        <f t="shared" si="47"/>
        <v>21686.426554824091</v>
      </c>
      <c r="Z247" s="60">
        <f t="shared" si="48"/>
        <v>21686.426554824091</v>
      </c>
      <c r="AA247" s="60">
        <f t="shared" si="49"/>
        <v>21686.426554824091</v>
      </c>
      <c r="AB247" s="60">
        <f t="shared" si="50"/>
        <v>21686.426554824091</v>
      </c>
    </row>
    <row r="248" spans="2:28" x14ac:dyDescent="0.35">
      <c r="B248">
        <v>552</v>
      </c>
      <c r="C248" s="17">
        <v>9</v>
      </c>
      <c r="D248" s="22" t="s">
        <v>265</v>
      </c>
      <c r="E248" s="90">
        <v>135.22</v>
      </c>
      <c r="F248" s="5">
        <v>161974.39000000001</v>
      </c>
      <c r="G248" s="5">
        <v>0</v>
      </c>
      <c r="H248" s="5">
        <v>161974.39000000001</v>
      </c>
      <c r="I248" s="58">
        <f t="shared" si="39"/>
        <v>1197.8582310309127</v>
      </c>
      <c r="J248">
        <v>365</v>
      </c>
      <c r="K248" s="128" t="str">
        <f t="shared" si="42"/>
        <v>-</v>
      </c>
      <c r="L248" s="96">
        <f t="shared" si="43"/>
        <v>161974.39000000001</v>
      </c>
      <c r="M248" s="96">
        <f t="shared" si="44"/>
        <v>90353.221032603193</v>
      </c>
      <c r="N248" s="60"/>
      <c r="O248" s="60">
        <f>IFERROR(INDEX('Revised 2020 MFAM(2020 PYAs)'!U$20:U$269,MATCH(B248,'Revised 2020 MFAM(2020 PYAs)'!B$20:B$269,0)),0)</f>
        <v>-129.40524867938075</v>
      </c>
      <c r="P248" s="60">
        <f>IFERROR(INDEX('Revised 2020 MFAM(2019 PYAs)'!AF$26:AF$274,MATCH(B248,'Revised 2020 MFAM(2019 PYAs)'!B$26:B$274,0)),0)</f>
        <v>-0.63725847414752934</v>
      </c>
      <c r="Q248" s="60">
        <f t="shared" si="45"/>
        <v>-2.5311411046012329</v>
      </c>
      <c r="R248" s="60">
        <f t="shared" si="46"/>
        <v>-132.57364825812951</v>
      </c>
      <c r="S248" s="60"/>
      <c r="T248" s="108">
        <f t="shared" si="51"/>
        <v>90220.647384345066</v>
      </c>
      <c r="U248" s="109">
        <v>0</v>
      </c>
      <c r="V248" s="110">
        <f t="shared" si="40"/>
        <v>0</v>
      </c>
      <c r="W248" s="60">
        <f t="shared" si="41"/>
        <v>90220.647384345066</v>
      </c>
      <c r="X248" s="62"/>
      <c r="Y248" s="60">
        <f t="shared" si="47"/>
        <v>22555.161846086266</v>
      </c>
      <c r="Z248" s="60">
        <f t="shared" si="48"/>
        <v>22555.161846086266</v>
      </c>
      <c r="AA248" s="60">
        <f t="shared" si="49"/>
        <v>22555.161846086266</v>
      </c>
      <c r="AB248" s="60">
        <f t="shared" si="50"/>
        <v>22555.161846086266</v>
      </c>
    </row>
    <row r="249" spans="2:28" x14ac:dyDescent="0.35">
      <c r="B249">
        <v>567</v>
      </c>
      <c r="C249" s="17">
        <v>9</v>
      </c>
      <c r="D249" s="22" t="s">
        <v>266</v>
      </c>
      <c r="E249" s="90">
        <v>404.55967218670105</v>
      </c>
      <c r="F249" s="5">
        <v>255843.88</v>
      </c>
      <c r="G249" s="5">
        <v>0</v>
      </c>
      <c r="H249" s="5">
        <v>255843.88</v>
      </c>
      <c r="I249" s="58">
        <f t="shared" si="39"/>
        <v>632.40084859948695</v>
      </c>
      <c r="J249">
        <v>365</v>
      </c>
      <c r="K249" s="128" t="str">
        <f t="shared" si="42"/>
        <v>-</v>
      </c>
      <c r="L249" s="96">
        <f t="shared" si="43"/>
        <v>255843.88</v>
      </c>
      <c r="M249" s="96">
        <f t="shared" si="44"/>
        <v>142715.88637857384</v>
      </c>
      <c r="N249" s="60"/>
      <c r="O249" s="60">
        <f>IFERROR(INDEX('Revised 2020 MFAM(2020 PYAs)'!U$20:U$269,MATCH(B249,'Revised 2020 MFAM(2020 PYAs)'!B$20:B$269,0)),0)</f>
        <v>10518.57553800827</v>
      </c>
      <c r="P249" s="60">
        <f>IFERROR(INDEX('Revised 2020 MFAM(2019 PYAs)'!AF$26:AF$274,MATCH(B249,'Revised 2020 MFAM(2019 PYAs)'!B$26:B$274,0)),0)</f>
        <v>-1.077076563538867</v>
      </c>
      <c r="Q249" s="60">
        <f t="shared" si="45"/>
        <v>-3.9980206811006682</v>
      </c>
      <c r="R249" s="60">
        <f t="shared" si="46"/>
        <v>10513.50044076363</v>
      </c>
      <c r="S249" s="60"/>
      <c r="T249" s="108">
        <f t="shared" si="51"/>
        <v>153229.38681933747</v>
      </c>
      <c r="U249" s="109">
        <v>0</v>
      </c>
      <c r="V249" s="110">
        <f t="shared" si="40"/>
        <v>0</v>
      </c>
      <c r="W249" s="60">
        <f t="shared" si="41"/>
        <v>153229.38681933747</v>
      </c>
      <c r="X249" s="62"/>
      <c r="Y249" s="60">
        <f t="shared" si="47"/>
        <v>38307.346704834366</v>
      </c>
      <c r="Z249" s="60">
        <f t="shared" si="48"/>
        <v>38307.346704834366</v>
      </c>
      <c r="AA249" s="60">
        <f t="shared" si="49"/>
        <v>38307.346704834366</v>
      </c>
      <c r="AB249" s="60">
        <f t="shared" si="50"/>
        <v>38307.346704834366</v>
      </c>
    </row>
    <row r="250" spans="2:28" x14ac:dyDescent="0.35">
      <c r="B250">
        <v>629</v>
      </c>
      <c r="C250" s="17">
        <v>9</v>
      </c>
      <c r="D250" s="22" t="s">
        <v>267</v>
      </c>
      <c r="E250" s="90">
        <v>217.32999999999998</v>
      </c>
      <c r="F250" s="5">
        <v>167927.45</v>
      </c>
      <c r="G250" s="5">
        <v>48338</v>
      </c>
      <c r="H250" s="5">
        <v>119589.45000000001</v>
      </c>
      <c r="I250" s="58">
        <f t="shared" si="39"/>
        <v>550.26664519394478</v>
      </c>
      <c r="J250">
        <v>365</v>
      </c>
      <c r="K250" s="128" t="str">
        <f t="shared" si="42"/>
        <v>-</v>
      </c>
      <c r="L250" s="96">
        <f t="shared" si="43"/>
        <v>119589.45000000003</v>
      </c>
      <c r="M250" s="96">
        <f t="shared" si="44"/>
        <v>66709.879314979669</v>
      </c>
      <c r="N250" s="60"/>
      <c r="O250" s="60">
        <f>IFERROR(INDEX('Revised 2020 MFAM(2020 PYAs)'!U$20:U$269,MATCH(B250,'Revised 2020 MFAM(2020 PYAs)'!B$20:B$269,0)),0)</f>
        <v>-146.44251774421718</v>
      </c>
      <c r="P250" s="60">
        <f>IFERROR(INDEX('Revised 2020 MFAM(2019 PYAs)'!AF$26:AF$274,MATCH(B250,'Revised 2020 MFAM(2019 PYAs)'!B$26:B$274,0)),0)</f>
        <v>-0.76041925161553081</v>
      </c>
      <c r="Q250" s="60">
        <f t="shared" si="45"/>
        <v>-1.86880020089382</v>
      </c>
      <c r="R250" s="60">
        <f t="shared" si="46"/>
        <v>-149.07173719672653</v>
      </c>
      <c r="S250" s="60"/>
      <c r="T250" s="108">
        <f t="shared" si="51"/>
        <v>66560.807577782936</v>
      </c>
      <c r="U250" s="109">
        <v>0</v>
      </c>
      <c r="V250" s="110">
        <f t="shared" si="40"/>
        <v>0</v>
      </c>
      <c r="W250" s="60">
        <f t="shared" si="41"/>
        <v>66560.807577782936</v>
      </c>
      <c r="X250" s="62"/>
      <c r="Y250" s="60">
        <f t="shared" si="47"/>
        <v>16640.201894445734</v>
      </c>
      <c r="Z250" s="60">
        <f t="shared" si="48"/>
        <v>16640.201894445734</v>
      </c>
      <c r="AA250" s="60">
        <f t="shared" si="49"/>
        <v>16640.201894445734</v>
      </c>
      <c r="AB250" s="60">
        <f t="shared" si="50"/>
        <v>16640.201894445734</v>
      </c>
    </row>
    <row r="251" spans="2:28" x14ac:dyDescent="0.35">
      <c r="B251">
        <v>630</v>
      </c>
      <c r="C251" s="17">
        <v>9</v>
      </c>
      <c r="D251" s="22" t="s">
        <v>268</v>
      </c>
      <c r="E251" s="90">
        <v>144.18914900219184</v>
      </c>
      <c r="F251" s="5">
        <v>265694.17</v>
      </c>
      <c r="G251" s="5">
        <v>21427.5</v>
      </c>
      <c r="H251" s="5">
        <v>244266.66999999998</v>
      </c>
      <c r="I251" s="58">
        <f t="shared" si="39"/>
        <v>1694.0710982092478</v>
      </c>
      <c r="J251">
        <v>365</v>
      </c>
      <c r="K251" s="128" t="str">
        <f t="shared" si="42"/>
        <v>-</v>
      </c>
      <c r="L251" s="96">
        <f t="shared" si="43"/>
        <v>244266.66999999998</v>
      </c>
      <c r="M251" s="96">
        <f t="shared" si="44"/>
        <v>136257.839436271</v>
      </c>
      <c r="N251" s="60"/>
      <c r="O251" s="60">
        <f>IFERROR(INDEX('Revised 2020 MFAM(2020 PYAs)'!U$20:U$269,MATCH(B251,'Revised 2020 MFAM(2020 PYAs)'!B$20:B$269,0)),0)</f>
        <v>-232.63521279333509</v>
      </c>
      <c r="P251" s="60">
        <f>IFERROR(INDEX('Revised 2020 MFAM(2019 PYAs)'!AF$26:AF$274,MATCH(B251,'Revised 2020 MFAM(2019 PYAs)'!B$26:B$274,0)),0)</f>
        <v>-1.1065040591784054</v>
      </c>
      <c r="Q251" s="60">
        <f t="shared" si="45"/>
        <v>-3.8171059568186347</v>
      </c>
      <c r="R251" s="60">
        <f t="shared" si="46"/>
        <v>-237.55882280933213</v>
      </c>
      <c r="S251" s="60"/>
      <c r="T251" s="108">
        <f t="shared" si="51"/>
        <v>136020.28061346165</v>
      </c>
      <c r="U251" s="109">
        <v>0</v>
      </c>
      <c r="V251" s="110">
        <f t="shared" si="40"/>
        <v>0</v>
      </c>
      <c r="W251" s="60">
        <f t="shared" si="41"/>
        <v>136020.28061346165</v>
      </c>
      <c r="X251" s="62"/>
      <c r="Y251" s="60">
        <f t="shared" si="47"/>
        <v>34005.070153365414</v>
      </c>
      <c r="Z251" s="60">
        <f t="shared" si="48"/>
        <v>34005.070153365414</v>
      </c>
      <c r="AA251" s="60">
        <f t="shared" si="49"/>
        <v>34005.070153365414</v>
      </c>
      <c r="AB251" s="60">
        <f t="shared" si="50"/>
        <v>34005.070153365414</v>
      </c>
    </row>
    <row r="252" spans="2:28" x14ac:dyDescent="0.35">
      <c r="B252">
        <v>695</v>
      </c>
      <c r="C252" s="17">
        <v>9</v>
      </c>
      <c r="D252" s="22" t="s">
        <v>269</v>
      </c>
      <c r="E252" s="90">
        <v>25.101680066854268</v>
      </c>
      <c r="F252" s="5">
        <v>13337.48</v>
      </c>
      <c r="G252" s="5">
        <v>0</v>
      </c>
      <c r="H252" s="5">
        <v>13337.48</v>
      </c>
      <c r="I252" s="58">
        <f t="shared" si="39"/>
        <v>531.33814009571381</v>
      </c>
      <c r="J252">
        <v>365</v>
      </c>
      <c r="K252" s="128" t="str">
        <f t="shared" si="42"/>
        <v>-</v>
      </c>
      <c r="L252" s="96">
        <f t="shared" si="43"/>
        <v>13337.480000000001</v>
      </c>
      <c r="M252" s="96">
        <f t="shared" si="44"/>
        <v>7439.9680002371015</v>
      </c>
      <c r="N252" s="60"/>
      <c r="O252" s="60">
        <f>IFERROR(INDEX('Revised 2020 MFAM(2020 PYAs)'!U$20:U$269,MATCH(B252,'Revised 2020 MFAM(2020 PYAs)'!B$20:B$269,0)),0)</f>
        <v>0</v>
      </c>
      <c r="P252" s="60">
        <f>IFERROR(INDEX('Revised 2020 MFAM(2019 PYAs)'!AF$26:AF$274,MATCH(B252,'Revised 2020 MFAM(2019 PYAs)'!B$26:B$274,0)),0)</f>
        <v>0</v>
      </c>
      <c r="Q252" s="60">
        <f t="shared" si="45"/>
        <v>-0.20842210833327943</v>
      </c>
      <c r="R252" s="60">
        <f t="shared" si="46"/>
        <v>-0.20842210833327943</v>
      </c>
      <c r="S252" s="60"/>
      <c r="T252" s="108">
        <f t="shared" si="51"/>
        <v>7439.7595781287682</v>
      </c>
      <c r="U252" s="109">
        <v>0</v>
      </c>
      <c r="V252" s="110">
        <f t="shared" si="40"/>
        <v>0</v>
      </c>
      <c r="W252" s="60">
        <f t="shared" si="41"/>
        <v>7439.7595781287682</v>
      </c>
      <c r="X252" s="62"/>
      <c r="Y252" s="60">
        <f t="shared" si="47"/>
        <v>1859.9398945321921</v>
      </c>
      <c r="Z252" s="60">
        <f t="shared" si="48"/>
        <v>1859.9398945321921</v>
      </c>
      <c r="AA252" s="60">
        <f t="shared" si="49"/>
        <v>1859.9398945321921</v>
      </c>
      <c r="AB252" s="60">
        <f t="shared" si="50"/>
        <v>1859.9398945321921</v>
      </c>
    </row>
    <row r="253" spans="2:28" x14ac:dyDescent="0.35">
      <c r="B253">
        <v>771</v>
      </c>
      <c r="C253" s="17">
        <v>9</v>
      </c>
      <c r="D253" s="22" t="s">
        <v>270</v>
      </c>
      <c r="E253" s="90">
        <v>170.95096391466581</v>
      </c>
      <c r="F253" s="5">
        <v>76263.759999999995</v>
      </c>
      <c r="G253" s="5">
        <v>0</v>
      </c>
      <c r="H253" s="5">
        <v>76263.759999999995</v>
      </c>
      <c r="I253" s="58">
        <f t="shared" si="39"/>
        <v>446.11482880008117</v>
      </c>
      <c r="J253">
        <v>365</v>
      </c>
      <c r="K253" s="128" t="str">
        <f t="shared" si="42"/>
        <v>-</v>
      </c>
      <c r="L253" s="96">
        <f t="shared" si="43"/>
        <v>76263.759999999995</v>
      </c>
      <c r="M253" s="96">
        <f t="shared" si="44"/>
        <v>42541.76455955414</v>
      </c>
      <c r="N253" s="60"/>
      <c r="O253" s="60">
        <f>IFERROR(INDEX('Revised 2020 MFAM(2020 PYAs)'!U$20:U$269,MATCH(B253,'Revised 2020 MFAM(2020 PYAs)'!B$20:B$269,0)),0)</f>
        <v>-76.061102344472602</v>
      </c>
      <c r="P253" s="60">
        <f>IFERROR(INDEX('Revised 2020 MFAM(2019 PYAs)'!AF$26:AF$274,MATCH(B253,'Revised 2020 MFAM(2019 PYAs)'!B$26:B$274,0)),0)</f>
        <v>-0.30648285892311833</v>
      </c>
      <c r="Q253" s="60">
        <f t="shared" si="45"/>
        <v>-1.1917583867884503</v>
      </c>
      <c r="R253" s="60">
        <f t="shared" si="46"/>
        <v>-77.55934359018417</v>
      </c>
      <c r="S253" s="60"/>
      <c r="T253" s="108">
        <f t="shared" si="51"/>
        <v>42464.205215963957</v>
      </c>
      <c r="U253" s="109">
        <v>0</v>
      </c>
      <c r="V253" s="110">
        <f t="shared" si="40"/>
        <v>0</v>
      </c>
      <c r="W253" s="60">
        <f t="shared" si="41"/>
        <v>42464.205215963957</v>
      </c>
      <c r="X253" s="62"/>
      <c r="Y253" s="60">
        <f t="shared" si="47"/>
        <v>10616.051303990989</v>
      </c>
      <c r="Z253" s="60">
        <f t="shared" si="48"/>
        <v>10616.051303990989</v>
      </c>
      <c r="AA253" s="60">
        <f t="shared" si="49"/>
        <v>10616.051303990989</v>
      </c>
      <c r="AB253" s="60">
        <f t="shared" si="50"/>
        <v>10616.051303990989</v>
      </c>
    </row>
    <row r="254" spans="2:28" x14ac:dyDescent="0.35">
      <c r="B254">
        <v>830</v>
      </c>
      <c r="C254" s="17">
        <v>9</v>
      </c>
      <c r="D254" s="22" t="s">
        <v>271</v>
      </c>
      <c r="E254" s="90">
        <v>25.4</v>
      </c>
      <c r="F254" s="5">
        <v>31567.79</v>
      </c>
      <c r="G254" s="5">
        <v>0</v>
      </c>
      <c r="H254" s="5">
        <v>31567.79</v>
      </c>
      <c r="I254" s="58">
        <f t="shared" si="39"/>
        <v>1242.826377952756</v>
      </c>
      <c r="J254">
        <v>365</v>
      </c>
      <c r="K254" s="128" t="str">
        <f t="shared" si="42"/>
        <v>-</v>
      </c>
      <c r="L254" s="96">
        <f t="shared" si="43"/>
        <v>31567.789999999997</v>
      </c>
      <c r="M254" s="96">
        <f t="shared" si="44"/>
        <v>17609.274573473005</v>
      </c>
      <c r="N254" s="60"/>
      <c r="O254" s="60">
        <f>IFERROR(INDEX('Revised 2020 MFAM(2020 PYAs)'!U$20:U$269,MATCH(B254,'Revised 2020 MFAM(2020 PYAs)'!B$20:B$269,0)),0)</f>
        <v>-24.169472742642029</v>
      </c>
      <c r="P254" s="60">
        <f>IFERROR(INDEX('Revised 2020 MFAM(2019 PYAs)'!AF$26:AF$274,MATCH(B254,'Revised 2020 MFAM(2019 PYAs)'!B$26:B$274,0)),0)</f>
        <v>-0.11495773937167542</v>
      </c>
      <c r="Q254" s="60">
        <f t="shared" si="45"/>
        <v>-0.49330348365824833</v>
      </c>
      <c r="R254" s="60">
        <f t="shared" si="46"/>
        <v>-24.777733965671953</v>
      </c>
      <c r="S254" s="60"/>
      <c r="T254" s="108">
        <f t="shared" si="51"/>
        <v>17584.496839507334</v>
      </c>
      <c r="U254" s="109">
        <v>0</v>
      </c>
      <c r="V254" s="110">
        <f t="shared" si="40"/>
        <v>0</v>
      </c>
      <c r="W254" s="60">
        <f t="shared" si="41"/>
        <v>17584.496839507334</v>
      </c>
      <c r="X254" s="62"/>
      <c r="Y254" s="60">
        <f t="shared" si="47"/>
        <v>4396.1242098768334</v>
      </c>
      <c r="Z254" s="60">
        <f t="shared" si="48"/>
        <v>4396.1242098768334</v>
      </c>
      <c r="AA254" s="60">
        <f t="shared" si="49"/>
        <v>4396.1242098768334</v>
      </c>
      <c r="AB254" s="60">
        <f t="shared" si="50"/>
        <v>4396.1242098768334</v>
      </c>
    </row>
    <row r="255" spans="2:28" x14ac:dyDescent="0.35">
      <c r="B255">
        <v>936</v>
      </c>
      <c r="C255" s="17">
        <v>9</v>
      </c>
      <c r="D255" s="22" t="s">
        <v>272</v>
      </c>
      <c r="E255" s="90">
        <v>37.062920062390212</v>
      </c>
      <c r="F255" s="5">
        <v>73780.210000000006</v>
      </c>
      <c r="G255" s="5">
        <v>0</v>
      </c>
      <c r="H255" s="5">
        <v>73780.210000000006</v>
      </c>
      <c r="I255" s="58">
        <f t="shared" si="39"/>
        <v>1990.6745036764885</v>
      </c>
      <c r="J255">
        <v>365</v>
      </c>
      <c r="K255" s="128" t="str">
        <f t="shared" si="42"/>
        <v>-</v>
      </c>
      <c r="L255" s="96">
        <f t="shared" si="43"/>
        <v>73780.210000000006</v>
      </c>
      <c r="M255" s="96">
        <f t="shared" si="44"/>
        <v>41156.380474480444</v>
      </c>
      <c r="N255" s="60"/>
      <c r="O255" s="60">
        <f>IFERROR(INDEX('Revised 2020 MFAM(2020 PYAs)'!U$20:U$269,MATCH(B255,'Revised 2020 MFAM(2020 PYAs)'!B$20:B$269,0)),0)</f>
        <v>-63.0213611250947</v>
      </c>
      <c r="P255" s="60">
        <f>IFERROR(INDEX('Revised 2020 MFAM(2019 PYAs)'!AF$26:AF$274,MATCH(B255,'Revised 2020 MFAM(2019 PYAs)'!B$26:B$274,0)),0)</f>
        <v>-0.29521158379429835</v>
      </c>
      <c r="Q255" s="60">
        <f t="shared" si="45"/>
        <v>-1.1529484521417919</v>
      </c>
      <c r="R255" s="60">
        <f t="shared" si="46"/>
        <v>-64.469521161030784</v>
      </c>
      <c r="S255" s="60"/>
      <c r="T255" s="108">
        <f t="shared" si="51"/>
        <v>41091.910953319413</v>
      </c>
      <c r="U255" s="109">
        <v>0</v>
      </c>
      <c r="V255" s="110">
        <f t="shared" si="40"/>
        <v>0</v>
      </c>
      <c r="W255" s="60">
        <f t="shared" si="41"/>
        <v>41091.910953319413</v>
      </c>
      <c r="X255" s="62"/>
      <c r="Y255" s="60">
        <f t="shared" si="47"/>
        <v>10272.977738329853</v>
      </c>
      <c r="Z255" s="60">
        <f t="shared" si="48"/>
        <v>10272.977738329853</v>
      </c>
      <c r="AA255" s="60">
        <f t="shared" si="49"/>
        <v>10272.977738329853</v>
      </c>
      <c r="AB255" s="60">
        <f t="shared" si="50"/>
        <v>10272.977738329853</v>
      </c>
    </row>
    <row r="256" spans="2:28" x14ac:dyDescent="0.35">
      <c r="B256">
        <v>952</v>
      </c>
      <c r="C256" s="17">
        <v>9</v>
      </c>
      <c r="D256" s="22" t="s">
        <v>273</v>
      </c>
      <c r="E256" s="90">
        <v>63.88</v>
      </c>
      <c r="F256" s="5">
        <v>86957.13</v>
      </c>
      <c r="G256" s="5">
        <v>7498</v>
      </c>
      <c r="H256" s="5">
        <v>79459.13</v>
      </c>
      <c r="I256" s="58">
        <f t="shared" si="39"/>
        <v>1243.8811834690043</v>
      </c>
      <c r="J256">
        <v>365</v>
      </c>
      <c r="K256" s="128" t="str">
        <f t="shared" si="42"/>
        <v>-</v>
      </c>
      <c r="L256" s="96">
        <f t="shared" si="43"/>
        <v>79459.13</v>
      </c>
      <c r="M256" s="96">
        <f t="shared" si="44"/>
        <v>44324.219007389693</v>
      </c>
      <c r="N256" s="60"/>
      <c r="O256" s="60">
        <f>IFERROR(INDEX('Revised 2020 MFAM(2020 PYAs)'!U$20:U$269,MATCH(B256,'Revised 2020 MFAM(2020 PYAs)'!B$20:B$269,0)),0)</f>
        <v>-73.612222123847459</v>
      </c>
      <c r="P256" s="60">
        <f>IFERROR(INDEX('Revised 2020 MFAM(2019 PYAs)'!AF$26:AF$274,MATCH(B256,'Revised 2020 MFAM(2019 PYAs)'!B$26:B$274,0)),0)</f>
        <v>0</v>
      </c>
      <c r="Q256" s="60">
        <f t="shared" si="45"/>
        <v>-1.2416917889232548</v>
      </c>
      <c r="R256" s="60">
        <f t="shared" si="46"/>
        <v>-74.853913912770707</v>
      </c>
      <c r="S256" s="60"/>
      <c r="T256" s="108">
        <f t="shared" si="51"/>
        <v>44249.365093476925</v>
      </c>
      <c r="U256" s="109">
        <v>0</v>
      </c>
      <c r="V256" s="110">
        <f t="shared" si="40"/>
        <v>0</v>
      </c>
      <c r="W256" s="60">
        <f t="shared" si="41"/>
        <v>44249.365093476925</v>
      </c>
      <c r="X256" s="62"/>
      <c r="Y256" s="60">
        <f t="shared" si="47"/>
        <v>11062.341273369231</v>
      </c>
      <c r="Z256" s="60">
        <f t="shared" si="48"/>
        <v>11062.341273369231</v>
      </c>
      <c r="AA256" s="60">
        <f t="shared" si="49"/>
        <v>11062.341273369231</v>
      </c>
      <c r="AB256" s="60">
        <f t="shared" si="50"/>
        <v>11062.341273369231</v>
      </c>
    </row>
    <row r="257" spans="2:28" x14ac:dyDescent="0.35">
      <c r="B257">
        <v>982</v>
      </c>
      <c r="C257" s="17">
        <v>9</v>
      </c>
      <c r="D257" s="22" t="s">
        <v>274</v>
      </c>
      <c r="E257" s="90">
        <v>29.560250435669463</v>
      </c>
      <c r="F257" s="5">
        <v>58651.29</v>
      </c>
      <c r="G257" s="5">
        <v>0</v>
      </c>
      <c r="H257" s="5">
        <v>58651.29</v>
      </c>
      <c r="I257" s="58">
        <f t="shared" si="39"/>
        <v>1984.1269656236491</v>
      </c>
      <c r="J257">
        <v>365</v>
      </c>
      <c r="K257" s="128" t="str">
        <f t="shared" si="42"/>
        <v>-</v>
      </c>
      <c r="L257" s="96">
        <f t="shared" si="43"/>
        <v>58651.29</v>
      </c>
      <c r="M257" s="96">
        <f t="shared" si="44"/>
        <v>32717.104038590969</v>
      </c>
      <c r="N257" s="60"/>
      <c r="O257" s="60">
        <f>IFERROR(INDEX('Revised 2020 MFAM(2020 PYAs)'!U$20:U$269,MATCH(B257,'Revised 2020 MFAM(2020 PYAs)'!B$20:B$269,0)),0)</f>
        <v>-96.535108322546876</v>
      </c>
      <c r="P257" s="60">
        <f>IFERROR(INDEX('Revised 2020 MFAM(2019 PYAs)'!AF$26:AF$274,MATCH(B257,'Revised 2020 MFAM(2019 PYAs)'!B$26:B$274,0)),0)</f>
        <v>0</v>
      </c>
      <c r="Q257" s="60">
        <f t="shared" si="45"/>
        <v>-0.91653187245765977</v>
      </c>
      <c r="R257" s="60">
        <f t="shared" si="46"/>
        <v>-97.451640195004529</v>
      </c>
      <c r="S257" s="60"/>
      <c r="T257" s="108">
        <f t="shared" si="51"/>
        <v>32619.652398395963</v>
      </c>
      <c r="U257" s="109">
        <v>0</v>
      </c>
      <c r="V257" s="110">
        <f t="shared" si="40"/>
        <v>0</v>
      </c>
      <c r="W257" s="60">
        <f t="shared" si="41"/>
        <v>32619.652398395963</v>
      </c>
      <c r="X257" s="62"/>
      <c r="Y257" s="60">
        <f t="shared" si="47"/>
        <v>8154.9130995989908</v>
      </c>
      <c r="Z257" s="60">
        <f t="shared" si="48"/>
        <v>8154.9130995989908</v>
      </c>
      <c r="AA257" s="60">
        <f t="shared" si="49"/>
        <v>8154.9130995989908</v>
      </c>
      <c r="AB257" s="60">
        <f t="shared" si="50"/>
        <v>8154.9130995989908</v>
      </c>
    </row>
    <row r="258" spans="2:28" x14ac:dyDescent="0.35">
      <c r="B258">
        <v>987</v>
      </c>
      <c r="C258" s="17">
        <v>9</v>
      </c>
      <c r="D258" s="22" t="s">
        <v>275</v>
      </c>
      <c r="E258" s="90">
        <v>259.50728395461181</v>
      </c>
      <c r="F258" s="5">
        <v>91864.46</v>
      </c>
      <c r="G258" s="5">
        <v>0</v>
      </c>
      <c r="H258" s="5">
        <v>91864.46</v>
      </c>
      <c r="I258" s="58">
        <f t="shared" si="39"/>
        <v>353.99568983222542</v>
      </c>
      <c r="J258">
        <v>365</v>
      </c>
      <c r="K258" s="128" t="str">
        <f t="shared" si="42"/>
        <v>-</v>
      </c>
      <c r="L258" s="96">
        <f t="shared" si="43"/>
        <v>91864.46</v>
      </c>
      <c r="M258" s="96">
        <f t="shared" si="44"/>
        <v>51244.211257228591</v>
      </c>
      <c r="N258" s="60"/>
      <c r="O258" s="60">
        <f>IFERROR(INDEX('Revised 2020 MFAM(2020 PYAs)'!U$20:U$269,MATCH(B258,'Revised 2020 MFAM(2020 PYAs)'!B$20:B$269,0)),0)</f>
        <v>-84.221083007432753</v>
      </c>
      <c r="P258" s="60">
        <f>IFERROR(INDEX('Revised 2020 MFAM(2019 PYAs)'!AF$26:AF$274,MATCH(B258,'Revised 2020 MFAM(2019 PYAs)'!B$26:B$274,0)),0)</f>
        <v>0</v>
      </c>
      <c r="Q258" s="60">
        <f t="shared" si="45"/>
        <v>-1.4355473773230187</v>
      </c>
      <c r="R258" s="60">
        <f t="shared" si="46"/>
        <v>-85.656630384755772</v>
      </c>
      <c r="S258" s="60"/>
      <c r="T258" s="108">
        <f t="shared" si="51"/>
        <v>51158.554626843834</v>
      </c>
      <c r="U258" s="109">
        <v>0</v>
      </c>
      <c r="V258" s="110">
        <f t="shared" si="40"/>
        <v>0</v>
      </c>
      <c r="W258" s="60">
        <f t="shared" si="41"/>
        <v>51158.554626843834</v>
      </c>
      <c r="X258" s="62"/>
      <c r="Y258" s="60">
        <f t="shared" si="47"/>
        <v>12789.638656710958</v>
      </c>
      <c r="Z258" s="60">
        <f t="shared" si="48"/>
        <v>12789.638656710958</v>
      </c>
      <c r="AA258" s="60">
        <f t="shared" si="49"/>
        <v>12789.638656710958</v>
      </c>
      <c r="AB258" s="60">
        <f t="shared" si="50"/>
        <v>12789.638656710958</v>
      </c>
    </row>
    <row r="259" spans="2:28" x14ac:dyDescent="0.35">
      <c r="B259"/>
      <c r="C259"/>
    </row>
    <row r="260" spans="2:28" x14ac:dyDescent="0.35">
      <c r="B260"/>
      <c r="C260"/>
    </row>
    <row r="261" spans="2:28" x14ac:dyDescent="0.35">
      <c r="B261"/>
      <c r="C261"/>
    </row>
    <row r="262" spans="2:28" x14ac:dyDescent="0.35">
      <c r="B262"/>
      <c r="C262"/>
    </row>
  </sheetData>
  <mergeCells count="2">
    <mergeCell ref="B2:G2"/>
    <mergeCell ref="O11:R11"/>
  </mergeCells>
  <conditionalFormatting sqref="B57 B88 B171 B190 B220">
    <cfRule type="expression" dxfId="56" priority="14">
      <formula>$C57&lt;&gt;$C55</formula>
    </cfRule>
  </conditionalFormatting>
  <conditionalFormatting sqref="B89">
    <cfRule type="expression" dxfId="55" priority="16">
      <formula>$C89&lt;&gt;$C86</formula>
    </cfRule>
  </conditionalFormatting>
  <conditionalFormatting sqref="B157 B178">
    <cfRule type="expression" dxfId="54" priority="15">
      <formula>$C157&lt;&gt;#REF!</formula>
    </cfRule>
  </conditionalFormatting>
  <conditionalFormatting sqref="B13:H13 C14:H258 B14:B56 B58:B87 B90:B156 B158:B170 B172:B177 B179:B189 B191:B219 B221:B243">
    <cfRule type="expression" dxfId="53" priority="13">
      <formula>$C13&lt;&gt;$C12</formula>
    </cfRule>
  </conditionalFormatting>
  <conditionalFormatting sqref="E11">
    <cfRule type="expression" dxfId="52" priority="7">
      <formula>E11&lt;=0=TRUE</formula>
    </cfRule>
    <cfRule type="expression" dxfId="51" priority="8">
      <formula>$C11&lt;&gt;$C10</formula>
    </cfRule>
    <cfRule type="expression" dxfId="50" priority="9">
      <formula>E11&lt;=0=TRUE</formula>
    </cfRule>
    <cfRule type="expression" dxfId="49" priority="10">
      <formula>$C11&lt;&gt;$C10</formula>
    </cfRule>
  </conditionalFormatting>
  <conditionalFormatting sqref="E13:F258">
    <cfRule type="expression" dxfId="48" priority="11">
      <formula>E13&lt;=0=TRUE</formula>
    </cfRule>
  </conditionalFormatting>
  <conditionalFormatting sqref="I11">
    <cfRule type="expression" dxfId="47" priority="1">
      <formula>$C11&lt;&gt;$C10</formula>
    </cfRule>
  </conditionalFormatting>
  <conditionalFormatting sqref="I13:S258">
    <cfRule type="expression" dxfId="46" priority="3">
      <formula>$C13&lt;&gt;$C12</formula>
    </cfRule>
  </conditionalFormatting>
  <conditionalFormatting sqref="O10:R10">
    <cfRule type="expression" dxfId="45" priority="17">
      <formula>$C10&lt;&gt;#REF!</formula>
    </cfRule>
  </conditionalFormatting>
  <conditionalFormatting sqref="Q9">
    <cfRule type="expression" dxfId="44" priority="2">
      <formula>$C9&lt;&gt;$C8</formula>
    </cfRule>
  </conditionalFormatting>
  <conditionalFormatting sqref="T13:W258 Y13:AB258">
    <cfRule type="expression" dxfId="43" priority="12">
      <formula>$C13&lt;&gt;$C12=TRUE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4EEC-A8F7-4FEE-8930-31CD87668EEB}">
  <sheetPr>
    <tabColor theme="8" tint="0.59999389629810485"/>
  </sheetPr>
  <dimension ref="B1:U269"/>
  <sheetViews>
    <sheetView zoomScaleNormal="100" zoomScaleSheetLayoutView="50" workbookViewId="0"/>
  </sheetViews>
  <sheetFormatPr defaultColWidth="9.26953125" defaultRowHeight="14.5" x14ac:dyDescent="0.35"/>
  <cols>
    <col min="1" max="1" width="5.7265625" customWidth="1"/>
    <col min="2" max="2" width="11.453125" style="1" customWidth="1"/>
    <col min="3" max="3" width="13.7265625" style="1" customWidth="1"/>
    <col min="4" max="4" width="47.26953125" customWidth="1"/>
    <col min="5" max="7" width="16.26953125" customWidth="1"/>
    <col min="8" max="16" width="14.7265625" customWidth="1"/>
    <col min="17" max="17" width="16.7265625" customWidth="1"/>
    <col min="18" max="18" width="16.26953125" customWidth="1"/>
    <col min="19" max="19" width="5.7265625" customWidth="1"/>
    <col min="20" max="21" width="12.7265625" customWidth="1"/>
    <col min="22" max="22" width="4.7265625" customWidth="1"/>
    <col min="23" max="26" width="12.7265625" customWidth="1"/>
  </cols>
  <sheetData>
    <row r="1" spans="2:8" ht="58.5" customHeight="1" thickBot="1" x14ac:dyDescent="0.4">
      <c r="D1" s="24"/>
    </row>
    <row r="2" spans="2:8" ht="15.75" customHeight="1" thickBot="1" x14ac:dyDescent="0.4">
      <c r="B2" s="130" t="s">
        <v>276</v>
      </c>
      <c r="C2" s="131"/>
      <c r="D2" s="131"/>
      <c r="E2" s="131"/>
      <c r="F2" s="131"/>
      <c r="G2" s="131"/>
      <c r="H2" s="131"/>
    </row>
    <row r="3" spans="2:8" ht="15" thickBot="1" x14ac:dyDescent="0.4">
      <c r="B3" s="15"/>
    </row>
    <row r="4" spans="2:8" x14ac:dyDescent="0.35">
      <c r="D4" s="31" t="s">
        <v>277</v>
      </c>
      <c r="E4" s="32"/>
      <c r="F4" s="32"/>
      <c r="G4" s="32"/>
      <c r="H4" s="33"/>
    </row>
    <row r="5" spans="2:8" x14ac:dyDescent="0.35">
      <c r="D5" s="35"/>
      <c r="E5" s="36"/>
      <c r="F5" s="36"/>
      <c r="G5" s="36"/>
      <c r="H5" s="37"/>
    </row>
    <row r="6" spans="2:8" x14ac:dyDescent="0.35">
      <c r="D6" s="39" t="s">
        <v>2</v>
      </c>
      <c r="E6" s="94">
        <v>171983609.49000001</v>
      </c>
      <c r="F6" s="16"/>
      <c r="G6" s="16"/>
      <c r="H6" s="30"/>
    </row>
    <row r="7" spans="2:8" x14ac:dyDescent="0.35">
      <c r="D7" s="39" t="s">
        <v>3</v>
      </c>
      <c r="E7" s="113">
        <v>-2840377.94</v>
      </c>
      <c r="F7" s="40"/>
      <c r="G7" s="40"/>
      <c r="H7" s="30"/>
    </row>
    <row r="8" spans="2:8" ht="15" thickBot="1" x14ac:dyDescent="0.4">
      <c r="D8" s="39" t="s">
        <v>4</v>
      </c>
      <c r="E8" s="111">
        <f>E6+E7</f>
        <v>169143231.55000001</v>
      </c>
      <c r="F8" s="40"/>
      <c r="G8" s="40"/>
      <c r="H8" s="30"/>
    </row>
    <row r="9" spans="2:8" ht="15.5" thickTop="1" thickBot="1" x14ac:dyDescent="0.4">
      <c r="D9" s="39"/>
      <c r="E9" s="21"/>
      <c r="F9" s="40"/>
      <c r="G9" s="40"/>
      <c r="H9" s="30"/>
    </row>
    <row r="10" spans="2:8" x14ac:dyDescent="0.35">
      <c r="D10" s="31" t="s">
        <v>278</v>
      </c>
      <c r="E10" s="31"/>
      <c r="F10" s="31"/>
      <c r="G10" s="31"/>
      <c r="H10" s="125"/>
    </row>
    <row r="11" spans="2:8" x14ac:dyDescent="0.35">
      <c r="D11" s="39"/>
      <c r="E11" s="21"/>
      <c r="F11" s="40"/>
      <c r="G11" s="40"/>
      <c r="H11" s="30"/>
    </row>
    <row r="12" spans="2:8" x14ac:dyDescent="0.35">
      <c r="D12" s="39" t="s">
        <v>279</v>
      </c>
      <c r="E12" s="40">
        <f>E8-E13</f>
        <v>168697830.84</v>
      </c>
      <c r="F12" s="40"/>
      <c r="G12" s="40"/>
      <c r="H12" s="30"/>
    </row>
    <row r="13" spans="2:8" x14ac:dyDescent="0.35">
      <c r="D13" s="39" t="s">
        <v>280</v>
      </c>
      <c r="E13" s="113">
        <v>445400.71</v>
      </c>
      <c r="F13" s="40"/>
      <c r="G13" s="40"/>
      <c r="H13" s="30"/>
    </row>
    <row r="14" spans="2:8" ht="15" thickBot="1" x14ac:dyDescent="0.4">
      <c r="D14" s="39" t="s">
        <v>4</v>
      </c>
      <c r="E14" s="111">
        <f>E12+E13</f>
        <v>169143231.55000001</v>
      </c>
      <c r="F14" s="16"/>
      <c r="G14" s="16"/>
      <c r="H14" s="30"/>
    </row>
    <row r="15" spans="2:8" ht="15.5" thickTop="1" thickBot="1" x14ac:dyDescent="0.4">
      <c r="D15" s="126"/>
      <c r="E15" s="127"/>
      <c r="F15" s="43"/>
      <c r="G15" s="43"/>
      <c r="H15" s="51"/>
    </row>
    <row r="16" spans="2:8" x14ac:dyDescent="0.35">
      <c r="D16" s="41"/>
      <c r="E16" s="21"/>
      <c r="F16" s="21"/>
      <c r="G16" s="21"/>
      <c r="H16" s="40"/>
    </row>
    <row r="18" spans="2:21" ht="15" thickBot="1" x14ac:dyDescent="0.4">
      <c r="E18" s="90">
        <f t="shared" ref="E18:R18" si="0">SUM(E20:E294)</f>
        <v>756984.04723005008</v>
      </c>
      <c r="F18" s="90">
        <f t="shared" si="0"/>
        <v>756998.89222415281</v>
      </c>
      <c r="G18" s="90">
        <f t="shared" si="0"/>
        <v>14.844994102742241</v>
      </c>
      <c r="H18" s="12">
        <f t="shared" si="0"/>
        <v>403004112.25</v>
      </c>
      <c r="I18" s="12">
        <f t="shared" si="0"/>
        <v>403606519.57999998</v>
      </c>
      <c r="J18" s="12">
        <f t="shared" si="0"/>
        <v>602407.33000000031</v>
      </c>
      <c r="K18" s="12">
        <f t="shared" si="0"/>
        <v>53164088.199999981</v>
      </c>
      <c r="L18" s="12">
        <f t="shared" si="0"/>
        <v>53169190.779999971</v>
      </c>
      <c r="M18" s="12">
        <f t="shared" si="0"/>
        <v>5102.5800000000618</v>
      </c>
      <c r="N18" s="12">
        <f t="shared" si="0"/>
        <v>349840024.04999989</v>
      </c>
      <c r="O18" s="12">
        <f t="shared" si="0"/>
        <v>350437328.80000007</v>
      </c>
      <c r="P18" s="12">
        <f t="shared" si="0"/>
        <v>597304.75000000035</v>
      </c>
      <c r="Q18" s="12">
        <f t="shared" si="0"/>
        <v>255259.42871961248</v>
      </c>
      <c r="R18" s="12">
        <f t="shared" si="0"/>
        <v>168697830.84</v>
      </c>
      <c r="T18" s="12">
        <f>SUM(T20:T294)</f>
        <v>168697830.84000027</v>
      </c>
      <c r="U18" s="12">
        <f>SUM(U20:U294)</f>
        <v>-9.3752532848156989E-8</v>
      </c>
    </row>
    <row r="19" spans="2:21" ht="47.25" customHeight="1" thickBot="1" x14ac:dyDescent="0.4">
      <c r="B19" s="64" t="s">
        <v>6</v>
      </c>
      <c r="C19" s="64" t="s">
        <v>7</v>
      </c>
      <c r="D19" s="64" t="s">
        <v>8</v>
      </c>
      <c r="E19" s="65" t="s">
        <v>281</v>
      </c>
      <c r="F19" s="69" t="s">
        <v>282</v>
      </c>
      <c r="G19" s="107" t="s">
        <v>283</v>
      </c>
      <c r="H19" s="65" t="s">
        <v>284</v>
      </c>
      <c r="I19" s="69" t="s">
        <v>285</v>
      </c>
      <c r="J19" s="107" t="s">
        <v>283</v>
      </c>
      <c r="K19" s="65" t="s">
        <v>286</v>
      </c>
      <c r="L19" s="69" t="s">
        <v>287</v>
      </c>
      <c r="M19" s="107" t="s">
        <v>283</v>
      </c>
      <c r="N19" s="65" t="s">
        <v>288</v>
      </c>
      <c r="O19" s="69" t="s">
        <v>289</v>
      </c>
      <c r="P19" s="107" t="s">
        <v>283</v>
      </c>
      <c r="Q19" s="65" t="s">
        <v>13</v>
      </c>
      <c r="R19" s="65" t="s">
        <v>17</v>
      </c>
      <c r="T19" s="71" t="s">
        <v>290</v>
      </c>
      <c r="U19" s="71" t="s">
        <v>18</v>
      </c>
    </row>
    <row r="20" spans="2:21" x14ac:dyDescent="0.35">
      <c r="B20">
        <v>1</v>
      </c>
      <c r="C20" s="17">
        <v>1</v>
      </c>
      <c r="D20" s="22" t="s">
        <v>30</v>
      </c>
      <c r="E20" s="90">
        <v>36876.870000000003</v>
      </c>
      <c r="F20" s="90">
        <f>INDEX('Revised 2020 Lockdown'!H$5:H$254,MATCH(B20,'Revised 2020 Lockdown'!B$5:B$254,0))</f>
        <v>36876.870000000003</v>
      </c>
      <c r="G20" s="90">
        <f>F20-E20</f>
        <v>0</v>
      </c>
      <c r="H20" s="5">
        <v>10663710.359999999</v>
      </c>
      <c r="I20" s="5">
        <f>INDEX('Revised 2020 Lockdown'!E$5:E$254,MATCH(B20,'Revised 2020 Lockdown'!B$5:B$254,0))</f>
        <v>10663710.359999999</v>
      </c>
      <c r="J20" s="5">
        <f>I20-H20</f>
        <v>0</v>
      </c>
      <c r="K20" s="5">
        <v>435756.04</v>
      </c>
      <c r="L20" s="5">
        <f>INDEX('Revised 2020 Lockdown'!F$5:F$254,MATCH(B20,'Revised 2020 Lockdown'!B$5:B$254,0))</f>
        <v>435756.04</v>
      </c>
      <c r="M20" s="5">
        <f>L20-K20</f>
        <v>0</v>
      </c>
      <c r="N20" s="5">
        <f t="shared" ref="N20:N83" si="1">H20-K20</f>
        <v>10227954.32</v>
      </c>
      <c r="O20" s="60">
        <f>INDEX('Revised 2020 Lockdown'!G$5:G$254,MATCH(B20,'Revised 2020 Lockdown'!B$5:B$254,0))</f>
        <v>10227954.32</v>
      </c>
      <c r="P20" s="5">
        <f>O20-N20</f>
        <v>0</v>
      </c>
      <c r="Q20" s="58">
        <f>IFERROR(O20/F20,"n.a.")</f>
        <v>277.35418759780856</v>
      </c>
      <c r="R20" s="96">
        <f>O20*(E$12/O$18)</f>
        <v>4923658.4288066486</v>
      </c>
      <c r="T20" s="96">
        <v>4932064.9128128476</v>
      </c>
      <c r="U20" s="5">
        <f>R20-T20</f>
        <v>-8406.4840061990544</v>
      </c>
    </row>
    <row r="21" spans="2:21" x14ac:dyDescent="0.35">
      <c r="B21">
        <v>20</v>
      </c>
      <c r="C21" s="17">
        <v>1</v>
      </c>
      <c r="D21" s="22" t="s">
        <v>31</v>
      </c>
      <c r="E21" s="90">
        <v>103854.72000000002</v>
      </c>
      <c r="F21" s="90">
        <f>INDEX('Revised 2020 Lockdown'!H$5:H$254,MATCH(B21,'Revised 2020 Lockdown'!B$5:B$254,0))</f>
        <v>103854.72000000002</v>
      </c>
      <c r="G21" s="90">
        <f t="shared" ref="G21:G84" si="2">F21-E21</f>
        <v>0</v>
      </c>
      <c r="H21" s="5">
        <v>69388824.069999993</v>
      </c>
      <c r="I21" s="5">
        <f>INDEX('Revised 2020 Lockdown'!E$5:E$254,MATCH(B21,'Revised 2020 Lockdown'!B$5:B$254,0))</f>
        <v>69388824.069999993</v>
      </c>
      <c r="J21" s="5">
        <f t="shared" ref="J21:J84" si="3">I21-H21</f>
        <v>0</v>
      </c>
      <c r="K21" s="5">
        <v>8922940.9799999986</v>
      </c>
      <c r="L21" s="5">
        <f>INDEX('Revised 2020 Lockdown'!F$5:F$254,MATCH(B21,'Revised 2020 Lockdown'!B$5:B$254,0))</f>
        <v>8922940.9799999986</v>
      </c>
      <c r="M21" s="5">
        <f t="shared" ref="M21:M84" si="4">L21-K21</f>
        <v>0</v>
      </c>
      <c r="N21" s="5">
        <f t="shared" si="1"/>
        <v>60465883.089999996</v>
      </c>
      <c r="O21" s="60">
        <f>INDEX('Revised 2020 Lockdown'!G$5:G$254,MATCH(B21,'Revised 2020 Lockdown'!B$5:B$254,0))</f>
        <v>60465883.089999996</v>
      </c>
      <c r="P21" s="5">
        <f t="shared" ref="P21:P84" si="5">O21-N21</f>
        <v>0</v>
      </c>
      <c r="Q21" s="58">
        <f t="shared" ref="Q21:Q84" si="6">IFERROR(O21/F21,"n.a.")</f>
        <v>582.21603303152699</v>
      </c>
      <c r="R21" s="96">
        <f t="shared" ref="R21:R84" si="7">O21*(E$12/O$18)</f>
        <v>29107810.380924333</v>
      </c>
      <c r="T21" s="96">
        <v>29157508.049022328</v>
      </c>
      <c r="U21" s="5">
        <f t="shared" ref="U21:U84" si="8">R21-T21</f>
        <v>-49697.668097995222</v>
      </c>
    </row>
    <row r="22" spans="2:21" x14ac:dyDescent="0.35">
      <c r="B22">
        <v>50</v>
      </c>
      <c r="C22" s="17">
        <v>1</v>
      </c>
      <c r="D22" s="22" t="s">
        <v>32</v>
      </c>
      <c r="E22" s="90">
        <v>23188.6</v>
      </c>
      <c r="F22" s="90">
        <f>INDEX('Revised 2020 Lockdown'!H$5:H$254,MATCH(B22,'Revised 2020 Lockdown'!B$5:B$254,0))</f>
        <v>23188.6</v>
      </c>
      <c r="G22" s="90">
        <f t="shared" si="2"/>
        <v>0</v>
      </c>
      <c r="H22" s="5">
        <v>12234889.41</v>
      </c>
      <c r="I22" s="5">
        <f>INDEX('Revised 2020 Lockdown'!E$5:E$254,MATCH(B22,'Revised 2020 Lockdown'!B$5:B$254,0))</f>
        <v>12234889.41</v>
      </c>
      <c r="J22" s="5">
        <f t="shared" si="3"/>
        <v>0</v>
      </c>
      <c r="K22" s="5">
        <v>2017716.84</v>
      </c>
      <c r="L22" s="5">
        <f>INDEX('Revised 2020 Lockdown'!F$5:F$254,MATCH(B22,'Revised 2020 Lockdown'!B$5:B$254,0))</f>
        <v>2017716.84</v>
      </c>
      <c r="M22" s="5">
        <f t="shared" si="4"/>
        <v>0</v>
      </c>
      <c r="N22" s="5">
        <f t="shared" si="1"/>
        <v>10217172.57</v>
      </c>
      <c r="O22" s="60">
        <f>INDEX('Revised 2020 Lockdown'!G$5:G$254,MATCH(B22,'Revised 2020 Lockdown'!B$5:B$254,0))</f>
        <v>10217172.57</v>
      </c>
      <c r="P22" s="5">
        <f t="shared" si="5"/>
        <v>0</v>
      </c>
      <c r="Q22" s="58">
        <f t="shared" si="6"/>
        <v>440.61187695678052</v>
      </c>
      <c r="R22" s="96">
        <f t="shared" si="7"/>
        <v>4918468.1774031026</v>
      </c>
      <c r="T22" s="96">
        <v>4926865.7997536771</v>
      </c>
      <c r="U22" s="5">
        <f t="shared" si="8"/>
        <v>-8397.6223505744711</v>
      </c>
    </row>
    <row r="23" spans="2:21" x14ac:dyDescent="0.35">
      <c r="B23">
        <v>97</v>
      </c>
      <c r="C23" s="17">
        <v>1</v>
      </c>
      <c r="D23" s="22" t="s">
        <v>33</v>
      </c>
      <c r="E23" s="90">
        <v>57594.14</v>
      </c>
      <c r="F23" s="90">
        <f>INDEX('Revised 2020 Lockdown'!H$5:H$254,MATCH(B23,'Revised 2020 Lockdown'!B$5:B$254,0))</f>
        <v>57594.14</v>
      </c>
      <c r="G23" s="90">
        <f t="shared" si="2"/>
        <v>0</v>
      </c>
      <c r="H23" s="5">
        <v>31289464.210000001</v>
      </c>
      <c r="I23" s="5">
        <f>INDEX('Revised 2020 Lockdown'!E$5:E$254,MATCH(B23,'Revised 2020 Lockdown'!B$5:B$254,0))</f>
        <v>31289464.210000001</v>
      </c>
      <c r="J23" s="5">
        <f t="shared" si="3"/>
        <v>0</v>
      </c>
      <c r="K23" s="5">
        <v>4915762.76</v>
      </c>
      <c r="L23" s="5">
        <f>INDEX('Revised 2020 Lockdown'!F$5:F$254,MATCH(B23,'Revised 2020 Lockdown'!B$5:B$254,0))</f>
        <v>4915762.76</v>
      </c>
      <c r="M23" s="5">
        <f t="shared" si="4"/>
        <v>0</v>
      </c>
      <c r="N23" s="5">
        <f t="shared" si="1"/>
        <v>26373701.450000003</v>
      </c>
      <c r="O23" s="60">
        <f>INDEX('Revised 2020 Lockdown'!G$5:G$254,MATCH(B23,'Revised 2020 Lockdown'!B$5:B$254,0))</f>
        <v>26373701.450000003</v>
      </c>
      <c r="P23" s="5">
        <f t="shared" si="5"/>
        <v>0</v>
      </c>
      <c r="Q23" s="58">
        <f t="shared" si="6"/>
        <v>457.92334862539843</v>
      </c>
      <c r="R23" s="96">
        <f t="shared" si="7"/>
        <v>12696096.734534755</v>
      </c>
      <c r="T23" s="96">
        <v>12717773.61072007</v>
      </c>
      <c r="U23" s="5">
        <f t="shared" si="8"/>
        <v>-21676.87618531473</v>
      </c>
    </row>
    <row r="24" spans="2:21" x14ac:dyDescent="0.35">
      <c r="B24">
        <v>172</v>
      </c>
      <c r="C24" s="17">
        <v>1</v>
      </c>
      <c r="D24" s="22" t="s">
        <v>34</v>
      </c>
      <c r="E24" s="90">
        <v>31467.38</v>
      </c>
      <c r="F24" s="90">
        <f>INDEX('Revised 2020 Lockdown'!H$5:H$254,MATCH(B24,'Revised 2020 Lockdown'!B$5:B$254,0))</f>
        <v>31467.38</v>
      </c>
      <c r="G24" s="90">
        <f t="shared" si="2"/>
        <v>0</v>
      </c>
      <c r="H24" s="5">
        <v>16470478.08</v>
      </c>
      <c r="I24" s="5">
        <f>INDEX('Revised 2020 Lockdown'!E$5:E$254,MATCH(B24,'Revised 2020 Lockdown'!B$5:B$254,0))</f>
        <v>16464543.279999999</v>
      </c>
      <c r="J24" s="5">
        <f t="shared" si="3"/>
        <v>-5934.8000000007451</v>
      </c>
      <c r="K24" s="5">
        <v>2082958.0499999998</v>
      </c>
      <c r="L24" s="5">
        <f>INDEX('Revised 2020 Lockdown'!F$5:F$254,MATCH(B24,'Revised 2020 Lockdown'!B$5:B$254,0))</f>
        <v>2082958.0499999998</v>
      </c>
      <c r="M24" s="5">
        <f t="shared" si="4"/>
        <v>0</v>
      </c>
      <c r="N24" s="5">
        <f t="shared" si="1"/>
        <v>14387520.030000001</v>
      </c>
      <c r="O24" s="60">
        <f>INDEX('Revised 2020 Lockdown'!G$5:G$254,MATCH(B24,'Revised 2020 Lockdown'!B$5:B$254,0))</f>
        <v>14381585.23</v>
      </c>
      <c r="P24" s="5">
        <f t="shared" si="5"/>
        <v>-5934.8000000007451</v>
      </c>
      <c r="Q24" s="58">
        <f t="shared" si="6"/>
        <v>457.03154282307582</v>
      </c>
      <c r="R24" s="96">
        <f t="shared" si="7"/>
        <v>6923184.3555291425</v>
      </c>
      <c r="T24" s="96">
        <v>6937866.6057979679</v>
      </c>
      <c r="U24" s="5">
        <f t="shared" si="8"/>
        <v>-14682.25026882533</v>
      </c>
    </row>
    <row r="25" spans="2:21" x14ac:dyDescent="0.35">
      <c r="B25">
        <v>270</v>
      </c>
      <c r="C25" s="17">
        <v>1</v>
      </c>
      <c r="D25" s="22" t="s">
        <v>35</v>
      </c>
      <c r="E25" s="90">
        <v>76782.87</v>
      </c>
      <c r="F25" s="90">
        <f>INDEX('Revised 2020 Lockdown'!H$5:H$254,MATCH(B25,'Revised 2020 Lockdown'!B$5:B$254,0))</f>
        <v>76782.87</v>
      </c>
      <c r="G25" s="90">
        <f t="shared" si="2"/>
        <v>0</v>
      </c>
      <c r="H25" s="5">
        <v>38388637.640000001</v>
      </c>
      <c r="I25" s="5">
        <f>INDEX('Revised 2020 Lockdown'!E$5:E$254,MATCH(B25,'Revised 2020 Lockdown'!B$5:B$254,0))</f>
        <v>38388637.640000001</v>
      </c>
      <c r="J25" s="5">
        <f t="shared" si="3"/>
        <v>0</v>
      </c>
      <c r="K25" s="5">
        <v>185109.55</v>
      </c>
      <c r="L25" s="5">
        <f>INDEX('Revised 2020 Lockdown'!F$5:F$254,MATCH(B25,'Revised 2020 Lockdown'!B$5:B$254,0))</f>
        <v>185109.55</v>
      </c>
      <c r="M25" s="5">
        <f t="shared" si="4"/>
        <v>0</v>
      </c>
      <c r="N25" s="5">
        <f t="shared" si="1"/>
        <v>38203528.090000004</v>
      </c>
      <c r="O25" s="60">
        <f>INDEX('Revised 2020 Lockdown'!G$5:G$254,MATCH(B25,'Revised 2020 Lockdown'!B$5:B$254,0))</f>
        <v>38203528.090000004</v>
      </c>
      <c r="P25" s="5">
        <f t="shared" si="5"/>
        <v>0</v>
      </c>
      <c r="Q25" s="58">
        <f t="shared" si="6"/>
        <v>497.55274959115235</v>
      </c>
      <c r="R25" s="96">
        <f t="shared" si="7"/>
        <v>18390884.159764227</v>
      </c>
      <c r="T25" s="96">
        <v>18422284.118917443</v>
      </c>
      <c r="U25" s="5">
        <f t="shared" si="8"/>
        <v>-31399.959153216332</v>
      </c>
    </row>
    <row r="26" spans="2:21" x14ac:dyDescent="0.35">
      <c r="B26">
        <v>6</v>
      </c>
      <c r="C26" s="17">
        <v>2</v>
      </c>
      <c r="D26" s="22" t="s">
        <v>36</v>
      </c>
      <c r="E26" s="90">
        <v>41369.72</v>
      </c>
      <c r="F26" s="90">
        <f>INDEX('Revised 2020 Lockdown'!H$5:H$254,MATCH(B26,'Revised 2020 Lockdown'!B$5:B$254,0))</f>
        <v>41369.72</v>
      </c>
      <c r="G26" s="90">
        <f t="shared" si="2"/>
        <v>0</v>
      </c>
      <c r="H26" s="5">
        <v>19519817.030000001</v>
      </c>
      <c r="I26" s="5">
        <f>INDEX('Revised 2020 Lockdown'!E$5:E$254,MATCH(B26,'Revised 2020 Lockdown'!B$5:B$254,0))</f>
        <v>19519817.030000001</v>
      </c>
      <c r="J26" s="5">
        <f t="shared" si="3"/>
        <v>0</v>
      </c>
      <c r="K26" s="5">
        <v>3436612.88</v>
      </c>
      <c r="L26" s="5">
        <f>INDEX('Revised 2020 Lockdown'!F$5:F$254,MATCH(B26,'Revised 2020 Lockdown'!B$5:B$254,0))</f>
        <v>3436612.88</v>
      </c>
      <c r="M26" s="5">
        <f t="shared" si="4"/>
        <v>0</v>
      </c>
      <c r="N26" s="5">
        <f t="shared" si="1"/>
        <v>16083204.150000002</v>
      </c>
      <c r="O26" s="60">
        <f>INDEX('Revised 2020 Lockdown'!G$5:G$254,MATCH(B26,'Revised 2020 Lockdown'!B$5:B$254,0))</f>
        <v>16083204.150000002</v>
      </c>
      <c r="P26" s="5">
        <f t="shared" si="5"/>
        <v>0</v>
      </c>
      <c r="Q26" s="58">
        <f t="shared" si="6"/>
        <v>388.76753698115436</v>
      </c>
      <c r="R26" s="96">
        <f t="shared" si="7"/>
        <v>7742330.5968935518</v>
      </c>
      <c r="T26" s="96">
        <v>7755549.5842125537</v>
      </c>
      <c r="U26" s="5">
        <f t="shared" si="8"/>
        <v>-13218.987319001928</v>
      </c>
    </row>
    <row r="27" spans="2:21" x14ac:dyDescent="0.35">
      <c r="B27">
        <v>18</v>
      </c>
      <c r="C27" s="17">
        <v>2</v>
      </c>
      <c r="D27" s="22" t="s">
        <v>37</v>
      </c>
      <c r="E27" s="90">
        <v>18591.03</v>
      </c>
      <c r="F27" s="90">
        <f>INDEX('Revised 2020 Lockdown'!H$5:H$254,MATCH(B27,'Revised 2020 Lockdown'!B$5:B$254,0))</f>
        <v>18591.03</v>
      </c>
      <c r="G27" s="90">
        <f t="shared" si="2"/>
        <v>0</v>
      </c>
      <c r="H27" s="5">
        <v>9886547.7300000004</v>
      </c>
      <c r="I27" s="5">
        <f>INDEX('Revised 2020 Lockdown'!E$5:E$254,MATCH(B27,'Revised 2020 Lockdown'!B$5:B$254,0))</f>
        <v>9886547.7300000004</v>
      </c>
      <c r="J27" s="5">
        <f t="shared" si="3"/>
        <v>0</v>
      </c>
      <c r="K27" s="5">
        <v>2290745.2799999998</v>
      </c>
      <c r="L27" s="5">
        <f>INDEX('Revised 2020 Lockdown'!F$5:F$254,MATCH(B27,'Revised 2020 Lockdown'!B$5:B$254,0))</f>
        <v>2290745.2799999998</v>
      </c>
      <c r="M27" s="5">
        <f t="shared" si="4"/>
        <v>0</v>
      </c>
      <c r="N27" s="5">
        <f t="shared" si="1"/>
        <v>7595802.4500000011</v>
      </c>
      <c r="O27" s="60">
        <f>INDEX('Revised 2020 Lockdown'!G$5:G$254,MATCH(B27,'Revised 2020 Lockdown'!B$5:B$254,0))</f>
        <v>7595802.4500000011</v>
      </c>
      <c r="P27" s="5">
        <f t="shared" si="5"/>
        <v>0</v>
      </c>
      <c r="Q27" s="58">
        <f t="shared" si="6"/>
        <v>408.57351367837077</v>
      </c>
      <c r="R27" s="96">
        <f t="shared" si="7"/>
        <v>3656560.7927443986</v>
      </c>
      <c r="T27" s="96">
        <v>3662803.8780977731</v>
      </c>
      <c r="U27" s="5">
        <f t="shared" si="8"/>
        <v>-6243.0853533744812</v>
      </c>
    </row>
    <row r="28" spans="2:21" x14ac:dyDescent="0.35">
      <c r="B28">
        <v>53</v>
      </c>
      <c r="C28" s="17">
        <v>2</v>
      </c>
      <c r="D28" s="22" t="s">
        <v>38</v>
      </c>
      <c r="E28" s="90">
        <v>33206.550000000003</v>
      </c>
      <c r="F28" s="90">
        <f>INDEX('Revised 2020 Lockdown'!H$5:H$254,MATCH(B28,'Revised 2020 Lockdown'!B$5:B$254,0))</f>
        <v>33206.550000000003</v>
      </c>
      <c r="G28" s="90">
        <f t="shared" si="2"/>
        <v>0</v>
      </c>
      <c r="H28" s="5">
        <v>11294897.619999999</v>
      </c>
      <c r="I28" s="5">
        <f>INDEX('Revised 2020 Lockdown'!E$5:E$254,MATCH(B28,'Revised 2020 Lockdown'!B$5:B$254,0))</f>
        <v>12255947.5</v>
      </c>
      <c r="J28" s="5">
        <f t="shared" si="3"/>
        <v>961049.88000000082</v>
      </c>
      <c r="K28" s="5">
        <v>2925233.89</v>
      </c>
      <c r="L28" s="5">
        <f>INDEX('Revised 2020 Lockdown'!F$5:F$254,MATCH(B28,'Revised 2020 Lockdown'!B$5:B$254,0))</f>
        <v>2925233.89</v>
      </c>
      <c r="M28" s="5">
        <f t="shared" si="4"/>
        <v>0</v>
      </c>
      <c r="N28" s="5">
        <f t="shared" si="1"/>
        <v>8369663.7299999986</v>
      </c>
      <c r="O28" s="60">
        <f>INDEX('Revised 2020 Lockdown'!G$5:G$254,MATCH(B28,'Revised 2020 Lockdown'!B$5:B$254,0))</f>
        <v>9330713.6099999994</v>
      </c>
      <c r="P28" s="5">
        <f t="shared" si="5"/>
        <v>961049.88000000082</v>
      </c>
      <c r="Q28" s="58">
        <f t="shared" si="6"/>
        <v>280.99015435207809</v>
      </c>
      <c r="R28" s="96">
        <f t="shared" si="7"/>
        <v>4491733.6620112527</v>
      </c>
      <c r="T28" s="96">
        <v>4035970.7839187239</v>
      </c>
      <c r="U28" s="5">
        <f t="shared" si="8"/>
        <v>455762.87809252879</v>
      </c>
    </row>
    <row r="29" spans="2:21" x14ac:dyDescent="0.35">
      <c r="B29">
        <v>335</v>
      </c>
      <c r="C29" s="17">
        <v>2</v>
      </c>
      <c r="D29" s="22" t="s">
        <v>39</v>
      </c>
      <c r="E29" s="90">
        <v>26354.27</v>
      </c>
      <c r="F29" s="90">
        <f>INDEX('Revised 2020 Lockdown'!H$5:H$254,MATCH(B29,'Revised 2020 Lockdown'!B$5:B$254,0))</f>
        <v>26354.27</v>
      </c>
      <c r="G29" s="90">
        <f t="shared" si="2"/>
        <v>0</v>
      </c>
      <c r="H29" s="5">
        <v>14716877.939999999</v>
      </c>
      <c r="I29" s="5">
        <f>INDEX('Revised 2020 Lockdown'!E$5:E$254,MATCH(B29,'Revised 2020 Lockdown'!B$5:B$254,0))</f>
        <v>14716877.939999999</v>
      </c>
      <c r="J29" s="5">
        <f t="shared" si="3"/>
        <v>0</v>
      </c>
      <c r="K29" s="5">
        <v>2164273.0699999998</v>
      </c>
      <c r="L29" s="5">
        <f>INDEX('Revised 2020 Lockdown'!F$5:F$254,MATCH(B29,'Revised 2020 Lockdown'!B$5:B$254,0))</f>
        <v>2164273.0699999998</v>
      </c>
      <c r="M29" s="5">
        <f t="shared" si="4"/>
        <v>0</v>
      </c>
      <c r="N29" s="5">
        <f t="shared" si="1"/>
        <v>12552604.869999999</v>
      </c>
      <c r="O29" s="60">
        <f>INDEX('Revised 2020 Lockdown'!G$5:G$254,MATCH(B29,'Revised 2020 Lockdown'!B$5:B$254,0))</f>
        <v>12552604.869999999</v>
      </c>
      <c r="P29" s="5">
        <f t="shared" si="5"/>
        <v>0</v>
      </c>
      <c r="Q29" s="58">
        <f t="shared" si="6"/>
        <v>476.30250695617821</v>
      </c>
      <c r="R29" s="96">
        <f t="shared" si="7"/>
        <v>6042727.2979505137</v>
      </c>
      <c r="T29" s="96">
        <v>6053044.4414157961</v>
      </c>
      <c r="U29" s="5">
        <f t="shared" si="8"/>
        <v>-10317.143465282395</v>
      </c>
    </row>
    <row r="30" spans="2:21" x14ac:dyDescent="0.35">
      <c r="B30">
        <v>357</v>
      </c>
      <c r="C30" s="17">
        <v>2</v>
      </c>
      <c r="D30" s="22" t="s">
        <v>40</v>
      </c>
      <c r="E30" s="90">
        <v>35944.75</v>
      </c>
      <c r="F30" s="90">
        <f>INDEX('Revised 2020 Lockdown'!H$5:H$254,MATCH(B30,'Revised 2020 Lockdown'!B$5:B$254,0))</f>
        <v>35944.75</v>
      </c>
      <c r="G30" s="90">
        <f t="shared" si="2"/>
        <v>0</v>
      </c>
      <c r="H30" s="5">
        <v>15651927.32</v>
      </c>
      <c r="I30" s="5">
        <f>INDEX('Revised 2020 Lockdown'!E$5:E$254,MATCH(B30,'Revised 2020 Lockdown'!B$5:B$254,0))</f>
        <v>15651927.32</v>
      </c>
      <c r="J30" s="5">
        <f t="shared" si="3"/>
        <v>0</v>
      </c>
      <c r="K30" s="5">
        <v>3863038.7800000003</v>
      </c>
      <c r="L30" s="5">
        <f>INDEX('Revised 2020 Lockdown'!F$5:F$254,MATCH(B30,'Revised 2020 Lockdown'!B$5:B$254,0))</f>
        <v>3863038.7800000003</v>
      </c>
      <c r="M30" s="5">
        <f t="shared" si="4"/>
        <v>0</v>
      </c>
      <c r="N30" s="5">
        <f t="shared" si="1"/>
        <v>11788888.539999999</v>
      </c>
      <c r="O30" s="60">
        <f>INDEX('Revised 2020 Lockdown'!G$5:G$254,MATCH(B30,'Revised 2020 Lockdown'!B$5:B$254,0))</f>
        <v>11788888.539999999</v>
      </c>
      <c r="P30" s="5">
        <f t="shared" si="5"/>
        <v>0</v>
      </c>
      <c r="Q30" s="58">
        <f t="shared" si="6"/>
        <v>327.97247275332279</v>
      </c>
      <c r="R30" s="96">
        <f t="shared" si="7"/>
        <v>5675080.1392152775</v>
      </c>
      <c r="T30" s="96">
        <v>5684769.5746450573</v>
      </c>
      <c r="U30" s="5">
        <f t="shared" si="8"/>
        <v>-9689.4354297798127</v>
      </c>
    </row>
    <row r="31" spans="2:21" x14ac:dyDescent="0.35">
      <c r="B31">
        <v>441</v>
      </c>
      <c r="C31" s="17">
        <v>2</v>
      </c>
      <c r="D31" s="22" t="s">
        <v>41</v>
      </c>
      <c r="E31" s="90">
        <v>60398.659999999996</v>
      </c>
      <c r="F31" s="90">
        <f>INDEX('Revised 2020 Lockdown'!H$5:H$254,MATCH(B31,'Revised 2020 Lockdown'!B$5:B$254,0))</f>
        <v>60398.659999999996</v>
      </c>
      <c r="G31" s="90">
        <f t="shared" si="2"/>
        <v>0</v>
      </c>
      <c r="H31" s="5">
        <v>22593726.120000001</v>
      </c>
      <c r="I31" s="5">
        <f>INDEX('Revised 2020 Lockdown'!E$5:E$254,MATCH(B31,'Revised 2020 Lockdown'!B$5:B$254,0))</f>
        <v>22593726.120000001</v>
      </c>
      <c r="J31" s="5">
        <f t="shared" si="3"/>
        <v>0</v>
      </c>
      <c r="K31" s="5">
        <v>6993295.8300000001</v>
      </c>
      <c r="L31" s="5">
        <f>INDEX('Revised 2020 Lockdown'!F$5:F$254,MATCH(B31,'Revised 2020 Lockdown'!B$5:B$254,0))</f>
        <v>6993295.8300000001</v>
      </c>
      <c r="M31" s="5">
        <f t="shared" si="4"/>
        <v>0</v>
      </c>
      <c r="N31" s="5">
        <f t="shared" si="1"/>
        <v>15600430.290000001</v>
      </c>
      <c r="O31" s="60">
        <f>INDEX('Revised 2020 Lockdown'!G$5:G$254,MATCH(B31,'Revised 2020 Lockdown'!B$5:B$254,0))</f>
        <v>15600430.290000001</v>
      </c>
      <c r="P31" s="5">
        <f t="shared" si="5"/>
        <v>0</v>
      </c>
      <c r="Q31" s="58">
        <f t="shared" si="6"/>
        <v>258.29099999900666</v>
      </c>
      <c r="R31" s="96">
        <f t="shared" si="7"/>
        <v>7509926.979256303</v>
      </c>
      <c r="T31" s="96">
        <v>7522749.1686814418</v>
      </c>
      <c r="U31" s="5">
        <f t="shared" si="8"/>
        <v>-12822.189425138757</v>
      </c>
    </row>
    <row r="32" spans="2:21" x14ac:dyDescent="0.35">
      <c r="B32">
        <v>14</v>
      </c>
      <c r="C32" s="17">
        <v>3</v>
      </c>
      <c r="D32" s="22" t="s">
        <v>42</v>
      </c>
      <c r="E32" s="90">
        <v>12206.42</v>
      </c>
      <c r="F32" s="90">
        <f>INDEX('Revised 2020 Lockdown'!H$5:H$254,MATCH(B32,'Revised 2020 Lockdown'!B$5:B$254,0))</f>
        <v>12206.42</v>
      </c>
      <c r="G32" s="90">
        <f t="shared" si="2"/>
        <v>0</v>
      </c>
      <c r="H32" s="5">
        <v>2668581.5</v>
      </c>
      <c r="I32" s="5">
        <f>INDEX('Revised 2020 Lockdown'!E$5:E$254,MATCH(B32,'Revised 2020 Lockdown'!B$5:B$254,0))</f>
        <v>2668581.5</v>
      </c>
      <c r="J32" s="5">
        <f t="shared" si="3"/>
        <v>0</v>
      </c>
      <c r="K32" s="5">
        <v>102438.22</v>
      </c>
      <c r="L32" s="5">
        <f>INDEX('Revised 2020 Lockdown'!F$5:F$254,MATCH(B32,'Revised 2020 Lockdown'!B$5:B$254,0))</f>
        <v>102438.22</v>
      </c>
      <c r="M32" s="5">
        <f t="shared" si="4"/>
        <v>0</v>
      </c>
      <c r="N32" s="5">
        <f t="shared" si="1"/>
        <v>2566143.2799999998</v>
      </c>
      <c r="O32" s="60">
        <f>INDEX('Revised 2020 Lockdown'!G$5:G$254,MATCH(B32,'Revised 2020 Lockdown'!B$5:B$254,0))</f>
        <v>2566143.2799999998</v>
      </c>
      <c r="P32" s="5">
        <f t="shared" si="5"/>
        <v>0</v>
      </c>
      <c r="Q32" s="58">
        <f t="shared" si="6"/>
        <v>210.22898441967422</v>
      </c>
      <c r="R32" s="96">
        <f t="shared" si="7"/>
        <v>1235321.6092675645</v>
      </c>
      <c r="T32" s="96">
        <v>1237430.7546319268</v>
      </c>
      <c r="U32" s="5">
        <f t="shared" si="8"/>
        <v>-2109.1453643622808</v>
      </c>
    </row>
    <row r="33" spans="2:21" x14ac:dyDescent="0.35">
      <c r="B33">
        <v>36</v>
      </c>
      <c r="C33" s="17">
        <v>3</v>
      </c>
      <c r="D33" s="22" t="s">
        <v>43</v>
      </c>
      <c r="E33" s="90">
        <v>4378.0899999999992</v>
      </c>
      <c r="F33" s="90">
        <f>INDEX('Revised 2020 Lockdown'!H$5:H$254,MATCH(B33,'Revised 2020 Lockdown'!B$5:B$254,0))</f>
        <v>4378.0899999999992</v>
      </c>
      <c r="G33" s="90">
        <f t="shared" si="2"/>
        <v>0</v>
      </c>
      <c r="H33" s="5">
        <v>7032628.79</v>
      </c>
      <c r="I33" s="5">
        <f>INDEX('Revised 2020 Lockdown'!E$5:E$254,MATCH(B33,'Revised 2020 Lockdown'!B$5:B$254,0))</f>
        <v>7032628.79</v>
      </c>
      <c r="J33" s="5">
        <f t="shared" si="3"/>
        <v>0</v>
      </c>
      <c r="K33" s="5">
        <v>586758.02</v>
      </c>
      <c r="L33" s="5">
        <f>INDEX('Revised 2020 Lockdown'!F$5:F$254,MATCH(B33,'Revised 2020 Lockdown'!B$5:B$254,0))</f>
        <v>586758.02</v>
      </c>
      <c r="M33" s="5">
        <f t="shared" si="4"/>
        <v>0</v>
      </c>
      <c r="N33" s="5">
        <f t="shared" si="1"/>
        <v>6445870.7699999996</v>
      </c>
      <c r="O33" s="60">
        <f>INDEX('Revised 2020 Lockdown'!G$5:G$254,MATCH(B33,'Revised 2020 Lockdown'!B$5:B$254,0))</f>
        <v>6445870.7699999996</v>
      </c>
      <c r="P33" s="5">
        <f t="shared" si="5"/>
        <v>0</v>
      </c>
      <c r="Q33" s="58">
        <f t="shared" si="6"/>
        <v>1472.3020243987676</v>
      </c>
      <c r="R33" s="96">
        <f t="shared" si="7"/>
        <v>3102992.5393437715</v>
      </c>
      <c r="T33" s="96">
        <v>3108290.4814188625</v>
      </c>
      <c r="U33" s="5">
        <f t="shared" si="8"/>
        <v>-5297.9420750909485</v>
      </c>
    </row>
    <row r="34" spans="2:21" x14ac:dyDescent="0.35">
      <c r="B34">
        <v>55</v>
      </c>
      <c r="C34" s="17">
        <v>3</v>
      </c>
      <c r="D34" s="22" t="s">
        <v>44</v>
      </c>
      <c r="E34" s="90">
        <v>3576.87</v>
      </c>
      <c r="F34" s="90">
        <f>INDEX('Revised 2020 Lockdown'!H$5:H$254,MATCH(B34,'Revised 2020 Lockdown'!B$5:B$254,0))</f>
        <v>3576.87</v>
      </c>
      <c r="G34" s="90">
        <f t="shared" si="2"/>
        <v>0</v>
      </c>
      <c r="H34" s="5">
        <v>1491046.76</v>
      </c>
      <c r="I34" s="5">
        <f>INDEX('Revised 2020 Lockdown'!E$5:E$254,MATCH(B34,'Revised 2020 Lockdown'!B$5:B$254,0))</f>
        <v>1491046.76</v>
      </c>
      <c r="J34" s="5">
        <f t="shared" si="3"/>
        <v>0</v>
      </c>
      <c r="K34" s="5">
        <v>64044.21</v>
      </c>
      <c r="L34" s="5">
        <f>INDEX('Revised 2020 Lockdown'!F$5:F$254,MATCH(B34,'Revised 2020 Lockdown'!B$5:B$254,0))</f>
        <v>64044.21</v>
      </c>
      <c r="M34" s="5">
        <f t="shared" si="4"/>
        <v>0</v>
      </c>
      <c r="N34" s="5">
        <f t="shared" si="1"/>
        <v>1427002.55</v>
      </c>
      <c r="O34" s="60">
        <f>INDEX('Revised 2020 Lockdown'!G$5:G$254,MATCH(B34,'Revised 2020 Lockdown'!B$5:B$254,0))</f>
        <v>1427002.55</v>
      </c>
      <c r="P34" s="5">
        <f t="shared" si="5"/>
        <v>0</v>
      </c>
      <c r="Q34" s="58">
        <f t="shared" si="6"/>
        <v>398.95286940816976</v>
      </c>
      <c r="R34" s="96">
        <f t="shared" si="7"/>
        <v>686948.03607962152</v>
      </c>
      <c r="T34" s="96">
        <v>688120.9073829205</v>
      </c>
      <c r="U34" s="5">
        <f t="shared" si="8"/>
        <v>-1172.8713032989763</v>
      </c>
    </row>
    <row r="35" spans="2:21" x14ac:dyDescent="0.35">
      <c r="B35">
        <v>103</v>
      </c>
      <c r="C35" s="17">
        <v>3</v>
      </c>
      <c r="D35" s="22" t="s">
        <v>45</v>
      </c>
      <c r="E35" s="90">
        <v>4188.0400000000009</v>
      </c>
      <c r="F35" s="90">
        <f>INDEX('Revised 2020 Lockdown'!H$5:H$254,MATCH(B35,'Revised 2020 Lockdown'!B$5:B$254,0))</f>
        <v>4188.0400000000009</v>
      </c>
      <c r="G35" s="90">
        <f t="shared" si="2"/>
        <v>0</v>
      </c>
      <c r="H35" s="5">
        <v>1975311.14</v>
      </c>
      <c r="I35" s="5">
        <f>INDEX('Revised 2020 Lockdown'!E$5:E$254,MATCH(B35,'Revised 2020 Lockdown'!B$5:B$254,0))</f>
        <v>1975311.14</v>
      </c>
      <c r="J35" s="5">
        <f t="shared" si="3"/>
        <v>0</v>
      </c>
      <c r="K35" s="5">
        <v>318215.14999999991</v>
      </c>
      <c r="L35" s="5">
        <f>INDEX('Revised 2020 Lockdown'!F$5:F$254,MATCH(B35,'Revised 2020 Lockdown'!B$5:B$254,0))</f>
        <v>318215.14999999991</v>
      </c>
      <c r="M35" s="5">
        <f t="shared" si="4"/>
        <v>0</v>
      </c>
      <c r="N35" s="5">
        <f t="shared" si="1"/>
        <v>1657095.99</v>
      </c>
      <c r="O35" s="60">
        <f>INDEX('Revised 2020 Lockdown'!G$5:G$254,MATCH(B35,'Revised 2020 Lockdown'!B$5:B$254,0))</f>
        <v>1657095.99</v>
      </c>
      <c r="P35" s="5">
        <f t="shared" si="5"/>
        <v>0</v>
      </c>
      <c r="Q35" s="58">
        <f t="shared" si="6"/>
        <v>395.67339137162003</v>
      </c>
      <c r="R35" s="96">
        <f t="shared" si="7"/>
        <v>797713.24580037803</v>
      </c>
      <c r="T35" s="96">
        <v>799075.23378945538</v>
      </c>
      <c r="U35" s="5">
        <f t="shared" si="8"/>
        <v>-1361.9879890773445</v>
      </c>
    </row>
    <row r="36" spans="2:21" x14ac:dyDescent="0.35">
      <c r="B36">
        <v>123</v>
      </c>
      <c r="C36" s="17">
        <v>3</v>
      </c>
      <c r="D36" s="22" t="s">
        <v>46</v>
      </c>
      <c r="E36" s="90">
        <v>6909.68</v>
      </c>
      <c r="F36" s="90">
        <f>INDEX('Revised 2020 Lockdown'!H$5:H$254,MATCH(B36,'Revised 2020 Lockdown'!B$5:B$254,0))</f>
        <v>6909.68</v>
      </c>
      <c r="G36" s="90">
        <f t="shared" si="2"/>
        <v>0</v>
      </c>
      <c r="H36" s="5">
        <v>3047030.47</v>
      </c>
      <c r="I36" s="5">
        <f>INDEX('Revised 2020 Lockdown'!E$5:E$254,MATCH(B36,'Revised 2020 Lockdown'!B$5:B$254,0))</f>
        <v>3047030.47</v>
      </c>
      <c r="J36" s="5">
        <f t="shared" si="3"/>
        <v>0</v>
      </c>
      <c r="K36" s="5">
        <v>176619</v>
      </c>
      <c r="L36" s="5">
        <f>INDEX('Revised 2020 Lockdown'!F$5:F$254,MATCH(B36,'Revised 2020 Lockdown'!B$5:B$254,0))</f>
        <v>176619</v>
      </c>
      <c r="M36" s="5">
        <f t="shared" si="4"/>
        <v>0</v>
      </c>
      <c r="N36" s="5">
        <f t="shared" si="1"/>
        <v>2870411.47</v>
      </c>
      <c r="O36" s="60">
        <f>INDEX('Revised 2020 Lockdown'!G$5:G$254,MATCH(B36,'Revised 2020 Lockdown'!B$5:B$254,0))</f>
        <v>2870411.47</v>
      </c>
      <c r="P36" s="5">
        <f t="shared" si="5"/>
        <v>0</v>
      </c>
      <c r="Q36" s="58">
        <f t="shared" si="6"/>
        <v>415.41887178566884</v>
      </c>
      <c r="R36" s="96">
        <f t="shared" si="7"/>
        <v>1381793.9723071409</v>
      </c>
      <c r="T36" s="96">
        <v>1384153.1995151255</v>
      </c>
      <c r="U36" s="5">
        <f t="shared" si="8"/>
        <v>-2359.2272079845425</v>
      </c>
    </row>
    <row r="37" spans="2:21" x14ac:dyDescent="0.35">
      <c r="B37">
        <v>179</v>
      </c>
      <c r="C37" s="17">
        <v>3</v>
      </c>
      <c r="D37" s="22" t="s">
        <v>47</v>
      </c>
      <c r="E37" s="90">
        <v>5253.1100000000006</v>
      </c>
      <c r="F37" s="90">
        <f>INDEX('Revised 2020 Lockdown'!H$5:H$254,MATCH(B37,'Revised 2020 Lockdown'!B$5:B$254,0))</f>
        <v>5253.1100000000006</v>
      </c>
      <c r="G37" s="90">
        <f t="shared" si="2"/>
        <v>0</v>
      </c>
      <c r="H37" s="5">
        <v>3033586.82</v>
      </c>
      <c r="I37" s="5">
        <f>INDEX('Revised 2020 Lockdown'!E$5:E$254,MATCH(B37,'Revised 2020 Lockdown'!B$5:B$254,0))</f>
        <v>3033586.82</v>
      </c>
      <c r="J37" s="5">
        <f t="shared" si="3"/>
        <v>0</v>
      </c>
      <c r="K37" s="5">
        <v>2380.2800000000002</v>
      </c>
      <c r="L37" s="5">
        <f>INDEX('Revised 2020 Lockdown'!F$5:F$254,MATCH(B37,'Revised 2020 Lockdown'!B$5:B$254,0))</f>
        <v>2380.2800000000002</v>
      </c>
      <c r="M37" s="5">
        <f t="shared" si="4"/>
        <v>0</v>
      </c>
      <c r="N37" s="5">
        <f t="shared" si="1"/>
        <v>3031206.54</v>
      </c>
      <c r="O37" s="60">
        <f>INDEX('Revised 2020 Lockdown'!G$5:G$254,MATCH(B37,'Revised 2020 Lockdown'!B$5:B$254,0))</f>
        <v>3031206.54</v>
      </c>
      <c r="P37" s="5">
        <f t="shared" si="5"/>
        <v>0</v>
      </c>
      <c r="Q37" s="58">
        <f t="shared" si="6"/>
        <v>577.03085219993488</v>
      </c>
      <c r="R37" s="96">
        <f t="shared" si="7"/>
        <v>1459199.4804807496</v>
      </c>
      <c r="T37" s="96">
        <v>1461690.8671745842</v>
      </c>
      <c r="U37" s="5">
        <f t="shared" si="8"/>
        <v>-2491.38669383456</v>
      </c>
    </row>
    <row r="38" spans="2:21" x14ac:dyDescent="0.35">
      <c r="B38">
        <v>293</v>
      </c>
      <c r="C38" s="17">
        <v>3</v>
      </c>
      <c r="D38" s="22" t="s">
        <v>48</v>
      </c>
      <c r="E38" s="90">
        <v>6226.56</v>
      </c>
      <c r="F38" s="90">
        <f>INDEX('Revised 2020 Lockdown'!H$5:H$254,MATCH(B38,'Revised 2020 Lockdown'!B$5:B$254,0))</f>
        <v>6242.8000000000011</v>
      </c>
      <c r="G38" s="90">
        <f t="shared" si="2"/>
        <v>16.240000000000691</v>
      </c>
      <c r="H38" s="5">
        <v>3247941.76</v>
      </c>
      <c r="I38" s="5">
        <f>INDEX('Revised 2020 Lockdown'!E$5:E$254,MATCH(B38,'Revised 2020 Lockdown'!B$5:B$254,0))</f>
        <v>3146424.08</v>
      </c>
      <c r="J38" s="5">
        <f t="shared" si="3"/>
        <v>-101517.6799999997</v>
      </c>
      <c r="K38" s="5">
        <v>686860.16</v>
      </c>
      <c r="L38" s="5">
        <f>INDEX('Revised 2020 Lockdown'!F$5:F$254,MATCH(B38,'Revised 2020 Lockdown'!B$5:B$254,0))</f>
        <v>688610.91</v>
      </c>
      <c r="M38" s="5">
        <f t="shared" si="4"/>
        <v>1750.75</v>
      </c>
      <c r="N38" s="5">
        <f t="shared" si="1"/>
        <v>2561081.5999999996</v>
      </c>
      <c r="O38" s="60">
        <f>INDEX('Revised 2020 Lockdown'!G$5:G$254,MATCH(B38,'Revised 2020 Lockdown'!B$5:B$254,0))</f>
        <v>2457813.17</v>
      </c>
      <c r="P38" s="5">
        <f t="shared" si="5"/>
        <v>-103268.4299999997</v>
      </c>
      <c r="Q38" s="58">
        <f t="shared" si="6"/>
        <v>393.7036538091881</v>
      </c>
      <c r="R38" s="96">
        <f t="shared" si="7"/>
        <v>1183172.3287264826</v>
      </c>
      <c r="T38" s="96">
        <v>1234989.9406092172</v>
      </c>
      <c r="U38" s="5">
        <f t="shared" si="8"/>
        <v>-51817.611882734578</v>
      </c>
    </row>
    <row r="39" spans="2:21" x14ac:dyDescent="0.35">
      <c r="B39">
        <v>12</v>
      </c>
      <c r="C39" s="17">
        <v>4</v>
      </c>
      <c r="D39" s="22" t="s">
        <v>49</v>
      </c>
      <c r="E39" s="90">
        <v>5177.2300000000005</v>
      </c>
      <c r="F39" s="90">
        <f>INDEX('Revised 2020 Lockdown'!H$5:H$254,MATCH(B39,'Revised 2020 Lockdown'!B$5:B$254,0))</f>
        <v>5177.2300000000005</v>
      </c>
      <c r="G39" s="90">
        <f t="shared" si="2"/>
        <v>0</v>
      </c>
      <c r="H39" s="5">
        <v>3304763.38</v>
      </c>
      <c r="I39" s="5">
        <f>INDEX('Revised 2020 Lockdown'!E$5:E$254,MATCH(B39,'Revised 2020 Lockdown'!B$5:B$254,0))</f>
        <v>3304763.38</v>
      </c>
      <c r="J39" s="5">
        <f t="shared" si="3"/>
        <v>0</v>
      </c>
      <c r="K39" s="5">
        <v>511071.68999999994</v>
      </c>
      <c r="L39" s="5">
        <f>INDEX('Revised 2020 Lockdown'!F$5:F$254,MATCH(B39,'Revised 2020 Lockdown'!B$5:B$254,0))</f>
        <v>511071.68999999994</v>
      </c>
      <c r="M39" s="5">
        <f t="shared" si="4"/>
        <v>0</v>
      </c>
      <c r="N39" s="5">
        <f t="shared" si="1"/>
        <v>2793691.69</v>
      </c>
      <c r="O39" s="60">
        <f>INDEX('Revised 2020 Lockdown'!G$5:G$254,MATCH(B39,'Revised 2020 Lockdown'!B$5:B$254,0))</f>
        <v>2793691.69</v>
      </c>
      <c r="P39" s="5">
        <f t="shared" si="5"/>
        <v>0</v>
      </c>
      <c r="Q39" s="58">
        <f t="shared" si="6"/>
        <v>539.61127668656786</v>
      </c>
      <c r="R39" s="96">
        <f t="shared" si="7"/>
        <v>1344861.6611494203</v>
      </c>
      <c r="T39" s="96">
        <v>1347157.8314074664</v>
      </c>
      <c r="U39" s="5">
        <f t="shared" si="8"/>
        <v>-2296.1702580461279</v>
      </c>
    </row>
    <row r="40" spans="2:21" x14ac:dyDescent="0.35">
      <c r="B40">
        <v>21</v>
      </c>
      <c r="C40" s="17">
        <v>4</v>
      </c>
      <c r="D40" s="22" t="s">
        <v>50</v>
      </c>
      <c r="E40" s="90">
        <v>5095.16</v>
      </c>
      <c r="F40" s="90">
        <f>INDEX('Revised 2020 Lockdown'!H$5:H$254,MATCH(B40,'Revised 2020 Lockdown'!B$5:B$254,0))</f>
        <v>5095.16</v>
      </c>
      <c r="G40" s="90">
        <f t="shared" si="2"/>
        <v>0</v>
      </c>
      <c r="H40" s="5">
        <v>3828643.24</v>
      </c>
      <c r="I40" s="5">
        <f>INDEX('Revised 2020 Lockdown'!E$5:E$254,MATCH(B40,'Revised 2020 Lockdown'!B$5:B$254,0))</f>
        <v>3828643.24</v>
      </c>
      <c r="J40" s="5">
        <f t="shared" si="3"/>
        <v>0</v>
      </c>
      <c r="K40" s="5">
        <v>353045.89</v>
      </c>
      <c r="L40" s="5">
        <f>INDEX('Revised 2020 Lockdown'!F$5:F$254,MATCH(B40,'Revised 2020 Lockdown'!B$5:B$254,0))</f>
        <v>353045.89</v>
      </c>
      <c r="M40" s="5">
        <f t="shared" si="4"/>
        <v>0</v>
      </c>
      <c r="N40" s="5">
        <f t="shared" si="1"/>
        <v>3475597.35</v>
      </c>
      <c r="O40" s="60">
        <f>INDEX('Revised 2020 Lockdown'!G$5:G$254,MATCH(B40,'Revised 2020 Lockdown'!B$5:B$254,0))</f>
        <v>3475597.35</v>
      </c>
      <c r="P40" s="5">
        <f t="shared" si="5"/>
        <v>0</v>
      </c>
      <c r="Q40" s="58">
        <f t="shared" si="6"/>
        <v>682.13703789478643</v>
      </c>
      <c r="R40" s="96">
        <f t="shared" si="7"/>
        <v>1673125.7934935275</v>
      </c>
      <c r="T40" s="96">
        <v>1675982.430570761</v>
      </c>
      <c r="U40" s="5">
        <f t="shared" si="8"/>
        <v>-2856.6370772335213</v>
      </c>
    </row>
    <row r="41" spans="2:21" x14ac:dyDescent="0.35">
      <c r="B41">
        <v>34</v>
      </c>
      <c r="C41" s="17">
        <v>4</v>
      </c>
      <c r="D41" s="22" t="s">
        <v>51</v>
      </c>
      <c r="E41" s="90">
        <v>4254.33</v>
      </c>
      <c r="F41" s="90">
        <f>INDEX('Revised 2020 Lockdown'!H$5:H$254,MATCH(B41,'Revised 2020 Lockdown'!B$5:B$254,0))</f>
        <v>4254.33</v>
      </c>
      <c r="G41" s="90">
        <f t="shared" si="2"/>
        <v>0</v>
      </c>
      <c r="H41" s="5">
        <v>2068222.35</v>
      </c>
      <c r="I41" s="5">
        <f>INDEX('Revised 2020 Lockdown'!E$5:E$254,MATCH(B41,'Revised 2020 Lockdown'!B$5:B$254,0))</f>
        <v>2068222.35</v>
      </c>
      <c r="J41" s="5">
        <f t="shared" si="3"/>
        <v>0</v>
      </c>
      <c r="K41" s="5">
        <v>351893.51</v>
      </c>
      <c r="L41" s="5">
        <f>INDEX('Revised 2020 Lockdown'!F$5:F$254,MATCH(B41,'Revised 2020 Lockdown'!B$5:B$254,0))</f>
        <v>351893.51</v>
      </c>
      <c r="M41" s="5">
        <f t="shared" si="4"/>
        <v>0</v>
      </c>
      <c r="N41" s="5">
        <f t="shared" si="1"/>
        <v>1716328.84</v>
      </c>
      <c r="O41" s="60">
        <f>INDEX('Revised 2020 Lockdown'!G$5:G$254,MATCH(B41,'Revised 2020 Lockdown'!B$5:B$254,0))</f>
        <v>1716328.84</v>
      </c>
      <c r="P41" s="5">
        <f t="shared" si="5"/>
        <v>0</v>
      </c>
      <c r="Q41" s="58">
        <f t="shared" si="6"/>
        <v>403.43105494872287</v>
      </c>
      <c r="R41" s="96">
        <f t="shared" si="7"/>
        <v>826227.48354921653</v>
      </c>
      <c r="T41" s="96">
        <v>827638.15576102189</v>
      </c>
      <c r="U41" s="5">
        <f t="shared" si="8"/>
        <v>-1410.6722118053585</v>
      </c>
    </row>
    <row r="42" spans="2:21" x14ac:dyDescent="0.35">
      <c r="B42">
        <v>87</v>
      </c>
      <c r="C42" s="17">
        <v>4</v>
      </c>
      <c r="D42" s="22" t="s">
        <v>52</v>
      </c>
      <c r="E42" s="90">
        <v>9721.4725999999991</v>
      </c>
      <c r="F42" s="90">
        <f>INDEX('Revised 2020 Lockdown'!H$5:H$254,MATCH(B42,'Revised 2020 Lockdown'!B$5:B$254,0))</f>
        <v>9721.4725999999991</v>
      </c>
      <c r="G42" s="90">
        <f t="shared" si="2"/>
        <v>0</v>
      </c>
      <c r="H42" s="5">
        <v>5110321.6500000004</v>
      </c>
      <c r="I42" s="5">
        <f>INDEX('Revised 2020 Lockdown'!E$5:E$254,MATCH(B42,'Revised 2020 Lockdown'!B$5:B$254,0))</f>
        <v>4874227.17</v>
      </c>
      <c r="J42" s="5">
        <f t="shared" si="3"/>
        <v>-236094.48000000045</v>
      </c>
      <c r="K42" s="5">
        <v>686591.92</v>
      </c>
      <c r="L42" s="5">
        <f>INDEX('Revised 2020 Lockdown'!F$5:F$254,MATCH(B42,'Revised 2020 Lockdown'!B$5:B$254,0))</f>
        <v>686569.08000000007</v>
      </c>
      <c r="M42" s="5">
        <f t="shared" si="4"/>
        <v>-22.839999999967404</v>
      </c>
      <c r="N42" s="5">
        <f t="shared" si="1"/>
        <v>4423729.7300000004</v>
      </c>
      <c r="O42" s="60">
        <f>INDEX('Revised 2020 Lockdown'!G$5:G$254,MATCH(B42,'Revised 2020 Lockdown'!B$5:B$254,0))</f>
        <v>4187658.09</v>
      </c>
      <c r="P42" s="5">
        <f t="shared" si="5"/>
        <v>-236071.6400000006</v>
      </c>
      <c r="Q42" s="58">
        <f t="shared" si="6"/>
        <v>430.76376000895175</v>
      </c>
      <c r="R42" s="96">
        <f t="shared" si="7"/>
        <v>2015906.3490800622</v>
      </c>
      <c r="T42" s="96">
        <v>2133185.3372121882</v>
      </c>
      <c r="U42" s="5">
        <f t="shared" si="8"/>
        <v>-117278.98813212593</v>
      </c>
    </row>
    <row r="43" spans="2:21" x14ac:dyDescent="0.35">
      <c r="B43">
        <v>88</v>
      </c>
      <c r="C43" s="17">
        <v>4</v>
      </c>
      <c r="D43" s="22" t="s">
        <v>53</v>
      </c>
      <c r="E43" s="90">
        <v>5259.7800000000007</v>
      </c>
      <c r="F43" s="90">
        <f>INDEX('Revised 2020 Lockdown'!H$5:H$254,MATCH(B43,'Revised 2020 Lockdown'!B$5:B$254,0))</f>
        <v>5259.7800000000007</v>
      </c>
      <c r="G43" s="90">
        <f t="shared" si="2"/>
        <v>0</v>
      </c>
      <c r="H43" s="5">
        <v>3364893.65</v>
      </c>
      <c r="I43" s="5">
        <f>INDEX('Revised 2020 Lockdown'!E$5:E$254,MATCH(B43,'Revised 2020 Lockdown'!B$5:B$254,0))</f>
        <v>3364946.54</v>
      </c>
      <c r="J43" s="5">
        <f t="shared" si="3"/>
        <v>52.890000000130385</v>
      </c>
      <c r="K43" s="5">
        <v>458413.27999999997</v>
      </c>
      <c r="L43" s="5">
        <f>INDEX('Revised 2020 Lockdown'!F$5:F$254,MATCH(B43,'Revised 2020 Lockdown'!B$5:B$254,0))</f>
        <v>458413.27999999997</v>
      </c>
      <c r="M43" s="5">
        <f t="shared" si="4"/>
        <v>0</v>
      </c>
      <c r="N43" s="5">
        <f t="shared" si="1"/>
        <v>2906480.37</v>
      </c>
      <c r="O43" s="60">
        <f>INDEX('Revised 2020 Lockdown'!G$5:G$254,MATCH(B43,'Revised 2020 Lockdown'!B$5:B$254,0))</f>
        <v>2906533.2600000002</v>
      </c>
      <c r="P43" s="5">
        <f t="shared" si="5"/>
        <v>52.890000000130385</v>
      </c>
      <c r="Q43" s="58">
        <f t="shared" si="6"/>
        <v>552.59597549707405</v>
      </c>
      <c r="R43" s="96">
        <f t="shared" si="7"/>
        <v>1399182.7237849717</v>
      </c>
      <c r="T43" s="96">
        <v>1401546.1356358801</v>
      </c>
      <c r="U43" s="5">
        <f t="shared" si="8"/>
        <v>-2363.4118509083055</v>
      </c>
    </row>
    <row r="44" spans="2:21" x14ac:dyDescent="0.35">
      <c r="B44">
        <v>89</v>
      </c>
      <c r="C44" s="17">
        <v>4</v>
      </c>
      <c r="D44" s="22" t="s">
        <v>54</v>
      </c>
      <c r="E44" s="90">
        <v>5548.7800000000007</v>
      </c>
      <c r="F44" s="90">
        <f>INDEX('Revised 2020 Lockdown'!H$5:H$254,MATCH(B44,'Revised 2020 Lockdown'!B$5:B$254,0))</f>
        <v>5548.7800000000007</v>
      </c>
      <c r="G44" s="90">
        <f t="shared" si="2"/>
        <v>0</v>
      </c>
      <c r="H44" s="5">
        <v>5180269.63</v>
      </c>
      <c r="I44" s="5">
        <f>INDEX('Revised 2020 Lockdown'!E$5:E$254,MATCH(B44,'Revised 2020 Lockdown'!B$5:B$254,0))</f>
        <v>5180269.63</v>
      </c>
      <c r="J44" s="5">
        <f t="shared" si="3"/>
        <v>0</v>
      </c>
      <c r="K44" s="5">
        <v>409225.55</v>
      </c>
      <c r="L44" s="5">
        <f>INDEX('Revised 2020 Lockdown'!F$5:F$254,MATCH(B44,'Revised 2020 Lockdown'!B$5:B$254,0))</f>
        <v>409225.55</v>
      </c>
      <c r="M44" s="5">
        <f t="shared" si="4"/>
        <v>0</v>
      </c>
      <c r="N44" s="5">
        <f t="shared" si="1"/>
        <v>4771044.08</v>
      </c>
      <c r="O44" s="60">
        <f>INDEX('Revised 2020 Lockdown'!G$5:G$254,MATCH(B44,'Revised 2020 Lockdown'!B$5:B$254,0))</f>
        <v>4771044.08</v>
      </c>
      <c r="P44" s="5">
        <f t="shared" si="5"/>
        <v>0</v>
      </c>
      <c r="Q44" s="58">
        <f t="shared" si="6"/>
        <v>859.83659110651342</v>
      </c>
      <c r="R44" s="96">
        <f t="shared" si="7"/>
        <v>2296743.8711341508</v>
      </c>
      <c r="T44" s="96">
        <v>2300665.2521353317</v>
      </c>
      <c r="U44" s="5">
        <f t="shared" si="8"/>
        <v>-3921.3810011809692</v>
      </c>
    </row>
    <row r="45" spans="2:21" x14ac:dyDescent="0.35">
      <c r="B45">
        <v>143</v>
      </c>
      <c r="C45" s="17">
        <v>4</v>
      </c>
      <c r="D45" s="22" t="s">
        <v>55</v>
      </c>
      <c r="E45" s="90">
        <v>3029.9</v>
      </c>
      <c r="F45" s="90">
        <f>INDEX('Revised 2020 Lockdown'!H$5:H$254,MATCH(B45,'Revised 2020 Lockdown'!B$5:B$254,0))</f>
        <v>3029.9</v>
      </c>
      <c r="G45" s="90">
        <f t="shared" si="2"/>
        <v>0</v>
      </c>
      <c r="H45" s="5">
        <v>993236.57</v>
      </c>
      <c r="I45" s="5">
        <f>INDEX('Revised 2020 Lockdown'!E$5:E$254,MATCH(B45,'Revised 2020 Lockdown'!B$5:B$254,0))</f>
        <v>993236.57</v>
      </c>
      <c r="J45" s="5">
        <f t="shared" si="3"/>
        <v>0</v>
      </c>
      <c r="K45" s="5">
        <v>384202.12</v>
      </c>
      <c r="L45" s="5">
        <f>INDEX('Revised 2020 Lockdown'!F$5:F$254,MATCH(B45,'Revised 2020 Lockdown'!B$5:B$254,0))</f>
        <v>384202.12</v>
      </c>
      <c r="M45" s="5">
        <f t="shared" si="4"/>
        <v>0</v>
      </c>
      <c r="N45" s="5">
        <f t="shared" si="1"/>
        <v>609034.44999999995</v>
      </c>
      <c r="O45" s="60">
        <f>INDEX('Revised 2020 Lockdown'!G$5:G$254,MATCH(B45,'Revised 2020 Lockdown'!B$5:B$254,0))</f>
        <v>609034.44999999995</v>
      </c>
      <c r="P45" s="5">
        <f t="shared" si="5"/>
        <v>0</v>
      </c>
      <c r="Q45" s="58">
        <f t="shared" si="6"/>
        <v>201.0081025776428</v>
      </c>
      <c r="R45" s="96">
        <f t="shared" si="7"/>
        <v>293184.49314076727</v>
      </c>
      <c r="T45" s="96">
        <v>293685.06619799515</v>
      </c>
      <c r="U45" s="5">
        <f t="shared" si="8"/>
        <v>-500.57305722788442</v>
      </c>
    </row>
    <row r="46" spans="2:21" x14ac:dyDescent="0.35">
      <c r="B46">
        <v>183</v>
      </c>
      <c r="C46" s="17">
        <v>4</v>
      </c>
      <c r="D46" s="22" t="s">
        <v>56</v>
      </c>
      <c r="E46" s="90">
        <v>11270.429999999998</v>
      </c>
      <c r="F46" s="90">
        <f>INDEX('Revised 2020 Lockdown'!H$5:H$254,MATCH(B46,'Revised 2020 Lockdown'!B$5:B$254,0))</f>
        <v>11270.429999999998</v>
      </c>
      <c r="G46" s="90">
        <f t="shared" si="2"/>
        <v>0</v>
      </c>
      <c r="H46" s="5">
        <v>7395313.79</v>
      </c>
      <c r="I46" s="5">
        <f>INDEX('Revised 2020 Lockdown'!E$5:E$254,MATCH(B46,'Revised 2020 Lockdown'!B$5:B$254,0))</f>
        <v>7395313.79</v>
      </c>
      <c r="J46" s="5">
        <f t="shared" si="3"/>
        <v>0</v>
      </c>
      <c r="K46" s="5">
        <v>335329.55999999994</v>
      </c>
      <c r="L46" s="5">
        <f>INDEX('Revised 2020 Lockdown'!F$5:F$254,MATCH(B46,'Revised 2020 Lockdown'!B$5:B$254,0))</f>
        <v>335329.55999999994</v>
      </c>
      <c r="M46" s="5">
        <f t="shared" si="4"/>
        <v>0</v>
      </c>
      <c r="N46" s="5">
        <f t="shared" si="1"/>
        <v>7059984.2300000004</v>
      </c>
      <c r="O46" s="60">
        <f>INDEX('Revised 2020 Lockdown'!G$5:G$254,MATCH(B46,'Revised 2020 Lockdown'!B$5:B$254,0))</f>
        <v>7059984.2300000004</v>
      </c>
      <c r="P46" s="5">
        <f t="shared" si="5"/>
        <v>0</v>
      </c>
      <c r="Q46" s="58">
        <f t="shared" si="6"/>
        <v>626.41658126619848</v>
      </c>
      <c r="R46" s="96">
        <f t="shared" si="7"/>
        <v>3398622.0287774536</v>
      </c>
      <c r="T46" s="96">
        <v>3404424.7184118275</v>
      </c>
      <c r="U46" s="5">
        <f t="shared" si="8"/>
        <v>-5802.6896343738772</v>
      </c>
    </row>
    <row r="47" spans="2:21" x14ac:dyDescent="0.35">
      <c r="B47">
        <v>186</v>
      </c>
      <c r="C47" s="17">
        <v>4</v>
      </c>
      <c r="D47" s="22" t="s">
        <v>57</v>
      </c>
      <c r="E47" s="90">
        <v>10964.179999999998</v>
      </c>
      <c r="F47" s="90">
        <f>INDEX('Revised 2020 Lockdown'!H$5:H$254,MATCH(B47,'Revised 2020 Lockdown'!B$5:B$254,0))</f>
        <v>10964.179999999998</v>
      </c>
      <c r="G47" s="90">
        <f t="shared" si="2"/>
        <v>0</v>
      </c>
      <c r="H47" s="5">
        <v>8404512.5399999991</v>
      </c>
      <c r="I47" s="5">
        <f>INDEX('Revised 2020 Lockdown'!E$5:E$254,MATCH(B47,'Revised 2020 Lockdown'!B$5:B$254,0))</f>
        <v>8404512.5399999991</v>
      </c>
      <c r="J47" s="5">
        <f t="shared" si="3"/>
        <v>0</v>
      </c>
      <c r="K47" s="5">
        <v>1707314.1</v>
      </c>
      <c r="L47" s="5">
        <f>INDEX('Revised 2020 Lockdown'!F$5:F$254,MATCH(B47,'Revised 2020 Lockdown'!B$5:B$254,0))</f>
        <v>1707314.1</v>
      </c>
      <c r="M47" s="5">
        <f t="shared" si="4"/>
        <v>0</v>
      </c>
      <c r="N47" s="5">
        <f t="shared" si="1"/>
        <v>6697198.4399999995</v>
      </c>
      <c r="O47" s="60">
        <f>INDEX('Revised 2020 Lockdown'!G$5:G$254,MATCH(B47,'Revised 2020 Lockdown'!B$5:B$254,0))</f>
        <v>6697198.4399999995</v>
      </c>
      <c r="P47" s="5">
        <f t="shared" si="5"/>
        <v>0</v>
      </c>
      <c r="Q47" s="58">
        <f t="shared" si="6"/>
        <v>610.82529108423978</v>
      </c>
      <c r="R47" s="96">
        <f t="shared" si="7"/>
        <v>3223979.7438298236</v>
      </c>
      <c r="T47" s="96">
        <v>3229484.2552707978</v>
      </c>
      <c r="U47" s="5">
        <f t="shared" si="8"/>
        <v>-5504.5114409741946</v>
      </c>
    </row>
    <row r="48" spans="2:21" x14ac:dyDescent="0.35">
      <c r="B48">
        <v>190</v>
      </c>
      <c r="C48" s="17">
        <v>4</v>
      </c>
      <c r="D48" s="22" t="s">
        <v>58</v>
      </c>
      <c r="E48" s="90">
        <v>3314.3799999999997</v>
      </c>
      <c r="F48" s="90">
        <f>INDEX('Revised 2020 Lockdown'!H$5:H$254,MATCH(B48,'Revised 2020 Lockdown'!B$5:B$254,0))</f>
        <v>3314.3799999999997</v>
      </c>
      <c r="G48" s="90">
        <f t="shared" si="2"/>
        <v>0</v>
      </c>
      <c r="H48" s="5">
        <v>2331397.15</v>
      </c>
      <c r="I48" s="5">
        <f>INDEX('Revised 2020 Lockdown'!E$5:E$254,MATCH(B48,'Revised 2020 Lockdown'!B$5:B$254,0))</f>
        <v>2331397.15</v>
      </c>
      <c r="J48" s="5">
        <f t="shared" si="3"/>
        <v>0</v>
      </c>
      <c r="K48" s="5">
        <v>324577.79000000004</v>
      </c>
      <c r="L48" s="5">
        <f>INDEX('Revised 2020 Lockdown'!F$5:F$254,MATCH(B48,'Revised 2020 Lockdown'!B$5:B$254,0))</f>
        <v>324577.79000000004</v>
      </c>
      <c r="M48" s="5">
        <f t="shared" si="4"/>
        <v>0</v>
      </c>
      <c r="N48" s="5">
        <f t="shared" si="1"/>
        <v>2006819.3599999999</v>
      </c>
      <c r="O48" s="60">
        <f>INDEX('Revised 2020 Lockdown'!G$5:G$254,MATCH(B48,'Revised 2020 Lockdown'!B$5:B$254,0))</f>
        <v>2006819.3599999999</v>
      </c>
      <c r="P48" s="5">
        <f t="shared" si="5"/>
        <v>0</v>
      </c>
      <c r="Q48" s="58">
        <f t="shared" si="6"/>
        <v>605.48861627212329</v>
      </c>
      <c r="R48" s="96">
        <f t="shared" si="7"/>
        <v>966067.38237332716</v>
      </c>
      <c r="T48" s="96">
        <v>967716.81238888588</v>
      </c>
      <c r="U48" s="5">
        <f t="shared" si="8"/>
        <v>-1649.4300155587262</v>
      </c>
    </row>
    <row r="49" spans="2:21" x14ac:dyDescent="0.35">
      <c r="B49">
        <v>324</v>
      </c>
      <c r="C49" s="17">
        <v>4</v>
      </c>
      <c r="D49" s="22" t="s">
        <v>59</v>
      </c>
      <c r="E49" s="90">
        <v>7352.2100000000009</v>
      </c>
      <c r="F49" s="90">
        <f>INDEX('Revised 2020 Lockdown'!H$5:H$254,MATCH(B49,'Revised 2020 Lockdown'!B$5:B$254,0))</f>
        <v>7352.2000000000007</v>
      </c>
      <c r="G49" s="90">
        <f t="shared" si="2"/>
        <v>-1.0000000000218279E-2</v>
      </c>
      <c r="H49" s="5">
        <v>5028899.3099999996</v>
      </c>
      <c r="I49" s="5">
        <f>INDEX('Revised 2020 Lockdown'!E$5:E$254,MATCH(B49,'Revised 2020 Lockdown'!B$5:B$254,0))</f>
        <v>5025603.96</v>
      </c>
      <c r="J49" s="5">
        <f t="shared" si="3"/>
        <v>-3295.3499999996275</v>
      </c>
      <c r="K49" s="5">
        <v>692318.7</v>
      </c>
      <c r="L49" s="5">
        <f>INDEX('Revised 2020 Lockdown'!F$5:F$254,MATCH(B49,'Revised 2020 Lockdown'!B$5:B$254,0))</f>
        <v>692318.7</v>
      </c>
      <c r="M49" s="5">
        <f t="shared" si="4"/>
        <v>0</v>
      </c>
      <c r="N49" s="5">
        <f t="shared" si="1"/>
        <v>4336580.6099999994</v>
      </c>
      <c r="O49" s="60">
        <f>INDEX('Revised 2020 Lockdown'!G$5:G$254,MATCH(B49,'Revised 2020 Lockdown'!B$5:B$254,0))</f>
        <v>4333285.26</v>
      </c>
      <c r="P49" s="5">
        <f t="shared" si="5"/>
        <v>-3295.3499999996275</v>
      </c>
      <c r="Q49" s="58">
        <f t="shared" si="6"/>
        <v>589.38620548951326</v>
      </c>
      <c r="R49" s="96">
        <f t="shared" si="7"/>
        <v>2086010.1470244548</v>
      </c>
      <c r="T49" s="96">
        <v>2091160.7931551198</v>
      </c>
      <c r="U49" s="5">
        <f t="shared" si="8"/>
        <v>-5150.6461306649726</v>
      </c>
    </row>
    <row r="50" spans="2:21" x14ac:dyDescent="0.35">
      <c r="B50">
        <v>429</v>
      </c>
      <c r="C50" s="17">
        <v>4</v>
      </c>
      <c r="D50" s="22" t="s">
        <v>60</v>
      </c>
      <c r="E50" s="90">
        <v>4010.8067999999998</v>
      </c>
      <c r="F50" s="90">
        <f>INDEX('Revised 2020 Lockdown'!H$5:H$254,MATCH(B50,'Revised 2020 Lockdown'!B$5:B$254,0))</f>
        <v>4010.8067999999998</v>
      </c>
      <c r="G50" s="90">
        <f t="shared" si="2"/>
        <v>0</v>
      </c>
      <c r="H50" s="5">
        <v>1536857.42</v>
      </c>
      <c r="I50" s="5">
        <f>INDEX('Revised 2020 Lockdown'!E$5:E$254,MATCH(B50,'Revised 2020 Lockdown'!B$5:B$254,0))</f>
        <v>1536857.42</v>
      </c>
      <c r="J50" s="5">
        <f t="shared" si="3"/>
        <v>0</v>
      </c>
      <c r="K50" s="5">
        <v>266727.62</v>
      </c>
      <c r="L50" s="5">
        <f>INDEX('Revised 2020 Lockdown'!F$5:F$254,MATCH(B50,'Revised 2020 Lockdown'!B$5:B$254,0))</f>
        <v>266727.62</v>
      </c>
      <c r="M50" s="5">
        <f t="shared" si="4"/>
        <v>0</v>
      </c>
      <c r="N50" s="5">
        <f t="shared" si="1"/>
        <v>1270129.7999999998</v>
      </c>
      <c r="O50" s="60">
        <f>INDEX('Revised 2020 Lockdown'!G$5:G$254,MATCH(B50,'Revised 2020 Lockdown'!B$5:B$254,0))</f>
        <v>1270129.7999999998</v>
      </c>
      <c r="P50" s="5">
        <f t="shared" si="5"/>
        <v>0</v>
      </c>
      <c r="Q50" s="58">
        <f t="shared" si="6"/>
        <v>316.67688406232878</v>
      </c>
      <c r="R50" s="96">
        <f t="shared" si="7"/>
        <v>611430.70254233421</v>
      </c>
      <c r="T50" s="96">
        <v>612474.63816381211</v>
      </c>
      <c r="U50" s="5">
        <f t="shared" si="8"/>
        <v>-1043.9356214778963</v>
      </c>
    </row>
    <row r="51" spans="2:21" x14ac:dyDescent="0.35">
      <c r="B51">
        <v>601</v>
      </c>
      <c r="C51" s="17">
        <v>4</v>
      </c>
      <c r="D51" s="22" t="s">
        <v>61</v>
      </c>
      <c r="E51" s="90">
        <v>5313.41</v>
      </c>
      <c r="F51" s="90">
        <f>INDEX('Revised 2020 Lockdown'!H$5:H$254,MATCH(B51,'Revised 2020 Lockdown'!B$5:B$254,0))</f>
        <v>5313.41</v>
      </c>
      <c r="G51" s="90">
        <f t="shared" si="2"/>
        <v>0</v>
      </c>
      <c r="H51" s="5">
        <v>3069965.81</v>
      </c>
      <c r="I51" s="5">
        <f>INDEX('Revised 2020 Lockdown'!E$5:E$254,MATCH(B51,'Revised 2020 Lockdown'!B$5:B$254,0))</f>
        <v>3069965.81</v>
      </c>
      <c r="J51" s="5">
        <f t="shared" si="3"/>
        <v>0</v>
      </c>
      <c r="K51" s="5">
        <v>226301.41999999998</v>
      </c>
      <c r="L51" s="5">
        <f>INDEX('Revised 2020 Lockdown'!F$5:F$254,MATCH(B51,'Revised 2020 Lockdown'!B$5:B$254,0))</f>
        <v>226301.41999999998</v>
      </c>
      <c r="M51" s="5">
        <f t="shared" si="4"/>
        <v>0</v>
      </c>
      <c r="N51" s="5">
        <f t="shared" si="1"/>
        <v>2843664.39</v>
      </c>
      <c r="O51" s="60">
        <f>INDEX('Revised 2020 Lockdown'!G$5:G$254,MATCH(B51,'Revised 2020 Lockdown'!B$5:B$254,0))</f>
        <v>2843664.39</v>
      </c>
      <c r="P51" s="5">
        <f t="shared" si="5"/>
        <v>0</v>
      </c>
      <c r="Q51" s="58">
        <f t="shared" si="6"/>
        <v>535.18632855360306</v>
      </c>
      <c r="R51" s="96">
        <f t="shared" si="7"/>
        <v>1368918.1340145853</v>
      </c>
      <c r="T51" s="96">
        <v>1371255.3774618688</v>
      </c>
      <c r="U51" s="5">
        <f t="shared" si="8"/>
        <v>-2337.2434472835157</v>
      </c>
    </row>
    <row r="52" spans="2:21" x14ac:dyDescent="0.35">
      <c r="B52">
        <v>760</v>
      </c>
      <c r="C52" s="17">
        <v>4</v>
      </c>
      <c r="D52" s="22" t="s">
        <v>62</v>
      </c>
      <c r="E52" s="90">
        <v>4818.32</v>
      </c>
      <c r="F52" s="90">
        <f>INDEX('Revised 2020 Lockdown'!H$5:H$254,MATCH(B52,'Revised 2020 Lockdown'!B$5:B$254,0))</f>
        <v>4818.32</v>
      </c>
      <c r="G52" s="90">
        <f t="shared" si="2"/>
        <v>0</v>
      </c>
      <c r="H52" s="5">
        <v>1680570.65</v>
      </c>
      <c r="I52" s="5">
        <f>INDEX('Revised 2020 Lockdown'!E$5:E$254,MATCH(B52,'Revised 2020 Lockdown'!B$5:B$254,0))</f>
        <v>1680570.65</v>
      </c>
      <c r="J52" s="5">
        <f t="shared" si="3"/>
        <v>0</v>
      </c>
      <c r="K52" s="5">
        <v>569902.49</v>
      </c>
      <c r="L52" s="5">
        <f>INDEX('Revised 2020 Lockdown'!F$5:F$254,MATCH(B52,'Revised 2020 Lockdown'!B$5:B$254,0))</f>
        <v>569902.49</v>
      </c>
      <c r="M52" s="5">
        <f t="shared" si="4"/>
        <v>0</v>
      </c>
      <c r="N52" s="5">
        <f t="shared" si="1"/>
        <v>1110668.1599999999</v>
      </c>
      <c r="O52" s="60">
        <f>INDEX('Revised 2020 Lockdown'!G$5:G$254,MATCH(B52,'Revised 2020 Lockdown'!B$5:B$254,0))</f>
        <v>1110668.1599999999</v>
      </c>
      <c r="P52" s="5">
        <f t="shared" si="5"/>
        <v>0</v>
      </c>
      <c r="Q52" s="58">
        <f t="shared" si="6"/>
        <v>230.50942237128294</v>
      </c>
      <c r="R52" s="96">
        <f t="shared" si="7"/>
        <v>534667.09729997802</v>
      </c>
      <c r="T52" s="96">
        <v>535579.96939845604</v>
      </c>
      <c r="U52" s="5">
        <f t="shared" si="8"/>
        <v>-912.87209847802296</v>
      </c>
    </row>
    <row r="53" spans="2:21" x14ac:dyDescent="0.35">
      <c r="B53">
        <v>878</v>
      </c>
      <c r="C53" s="17">
        <v>4</v>
      </c>
      <c r="D53" s="22" t="s">
        <v>63</v>
      </c>
      <c r="E53" s="90">
        <v>7068.77</v>
      </c>
      <c r="F53" s="90">
        <f>INDEX('Revised 2020 Lockdown'!H$5:H$254,MATCH(B53,'Revised 2020 Lockdown'!B$5:B$254,0))</f>
        <v>7068.77</v>
      </c>
      <c r="G53" s="90">
        <f t="shared" si="2"/>
        <v>0</v>
      </c>
      <c r="H53" s="5">
        <v>3786822.12</v>
      </c>
      <c r="I53" s="5">
        <f>INDEX('Revised 2020 Lockdown'!E$5:E$254,MATCH(B53,'Revised 2020 Lockdown'!B$5:B$254,0))</f>
        <v>3789262.06</v>
      </c>
      <c r="J53" s="5">
        <f t="shared" si="3"/>
        <v>2439.9399999999441</v>
      </c>
      <c r="K53" s="5">
        <v>556703.94000000006</v>
      </c>
      <c r="L53" s="5">
        <f>INDEX('Revised 2020 Lockdown'!F$5:F$254,MATCH(B53,'Revised 2020 Lockdown'!B$5:B$254,0))</f>
        <v>556703.94000000006</v>
      </c>
      <c r="M53" s="5">
        <f t="shared" si="4"/>
        <v>0</v>
      </c>
      <c r="N53" s="5">
        <f t="shared" si="1"/>
        <v>3230118.18</v>
      </c>
      <c r="O53" s="60">
        <f>INDEX('Revised 2020 Lockdown'!G$5:G$254,MATCH(B53,'Revised 2020 Lockdown'!B$5:B$254,0))</f>
        <v>3232558.12</v>
      </c>
      <c r="P53" s="5">
        <f t="shared" si="5"/>
        <v>2439.9399999999441</v>
      </c>
      <c r="Q53" s="58">
        <f t="shared" si="6"/>
        <v>457.3013579448758</v>
      </c>
      <c r="R53" s="96">
        <f t="shared" si="7"/>
        <v>1556128.5801817479</v>
      </c>
      <c r="T53" s="96">
        <v>1557608.886526284</v>
      </c>
      <c r="U53" s="5">
        <f t="shared" si="8"/>
        <v>-1480.3063445361331</v>
      </c>
    </row>
    <row r="54" spans="2:21" x14ac:dyDescent="0.35">
      <c r="B54">
        <v>8</v>
      </c>
      <c r="C54" s="17">
        <v>5</v>
      </c>
      <c r="D54" s="22" t="s">
        <v>64</v>
      </c>
      <c r="E54" s="90">
        <v>1849.95</v>
      </c>
      <c r="F54" s="90">
        <f>INDEX('Revised 2020 Lockdown'!H$5:H$254,MATCH(B54,'Revised 2020 Lockdown'!B$5:B$254,0))</f>
        <v>1849.95</v>
      </c>
      <c r="G54" s="90">
        <f t="shared" si="2"/>
        <v>0</v>
      </c>
      <c r="H54" s="5">
        <v>990849.07</v>
      </c>
      <c r="I54" s="5">
        <f>INDEX('Revised 2020 Lockdown'!E$5:E$254,MATCH(B54,'Revised 2020 Lockdown'!B$5:B$254,0))</f>
        <v>990849.07</v>
      </c>
      <c r="J54" s="5">
        <f t="shared" si="3"/>
        <v>0</v>
      </c>
      <c r="K54" s="5">
        <v>161882.22</v>
      </c>
      <c r="L54" s="5">
        <f>INDEX('Revised 2020 Lockdown'!F$5:F$254,MATCH(B54,'Revised 2020 Lockdown'!B$5:B$254,0))</f>
        <v>161882.22</v>
      </c>
      <c r="M54" s="5">
        <f t="shared" si="4"/>
        <v>0</v>
      </c>
      <c r="N54" s="5">
        <f t="shared" si="1"/>
        <v>828966.85</v>
      </c>
      <c r="O54" s="60">
        <f>INDEX('Revised 2020 Lockdown'!G$5:G$254,MATCH(B54,'Revised 2020 Lockdown'!B$5:B$254,0))</f>
        <v>828966.85</v>
      </c>
      <c r="P54" s="5">
        <f t="shared" si="5"/>
        <v>0</v>
      </c>
      <c r="Q54" s="58">
        <f t="shared" si="6"/>
        <v>448.10230006216381</v>
      </c>
      <c r="R54" s="96">
        <f t="shared" si="7"/>
        <v>399058.25647095736</v>
      </c>
      <c r="T54" s="96">
        <v>399739.59472767677</v>
      </c>
      <c r="U54" s="5">
        <f t="shared" si="8"/>
        <v>-681.33825671940576</v>
      </c>
    </row>
    <row r="55" spans="2:21" x14ac:dyDescent="0.35">
      <c r="B55">
        <v>41</v>
      </c>
      <c r="C55" s="17">
        <v>5</v>
      </c>
      <c r="D55" s="22" t="s">
        <v>65</v>
      </c>
      <c r="E55" s="90">
        <v>1560.5800000000002</v>
      </c>
      <c r="F55" s="90">
        <f>INDEX('Revised 2020 Lockdown'!H$5:H$254,MATCH(B55,'Revised 2020 Lockdown'!B$5:B$254,0))</f>
        <v>1560.5800000000002</v>
      </c>
      <c r="G55" s="90">
        <f t="shared" si="2"/>
        <v>0</v>
      </c>
      <c r="H55" s="5">
        <v>586044.27</v>
      </c>
      <c r="I55" s="5">
        <f>INDEX('Revised 2020 Lockdown'!E$5:E$254,MATCH(B55,'Revised 2020 Lockdown'!B$5:B$254,0))</f>
        <v>586044.27</v>
      </c>
      <c r="J55" s="5">
        <f t="shared" si="3"/>
        <v>0</v>
      </c>
      <c r="K55" s="5">
        <v>142187.35999999999</v>
      </c>
      <c r="L55" s="5">
        <f>INDEX('Revised 2020 Lockdown'!F$5:F$254,MATCH(B55,'Revised 2020 Lockdown'!B$5:B$254,0))</f>
        <v>142187.35999999999</v>
      </c>
      <c r="M55" s="5">
        <f t="shared" si="4"/>
        <v>0</v>
      </c>
      <c r="N55" s="5">
        <f t="shared" si="1"/>
        <v>443856.91000000003</v>
      </c>
      <c r="O55" s="60">
        <f>INDEX('Revised 2020 Lockdown'!G$5:G$254,MATCH(B55,'Revised 2020 Lockdown'!B$5:B$254,0))</f>
        <v>443856.91000000003</v>
      </c>
      <c r="P55" s="5">
        <f t="shared" si="5"/>
        <v>0</v>
      </c>
      <c r="Q55" s="58">
        <f t="shared" si="6"/>
        <v>284.41791513411681</v>
      </c>
      <c r="R55" s="96">
        <f t="shared" si="7"/>
        <v>213669.29766514388</v>
      </c>
      <c r="T55" s="96">
        <v>214034.10922943291</v>
      </c>
      <c r="U55" s="5">
        <f t="shared" si="8"/>
        <v>-364.81156428903341</v>
      </c>
    </row>
    <row r="56" spans="2:21" x14ac:dyDescent="0.35">
      <c r="B56">
        <v>56</v>
      </c>
      <c r="C56" s="17">
        <v>5</v>
      </c>
      <c r="D56" s="22" t="s">
        <v>66</v>
      </c>
      <c r="E56" s="90">
        <v>2676.27</v>
      </c>
      <c r="F56" s="90">
        <f>INDEX('Revised 2020 Lockdown'!H$5:H$254,MATCH(B56,'Revised 2020 Lockdown'!B$5:B$254,0))</f>
        <v>2676.27</v>
      </c>
      <c r="G56" s="90">
        <f t="shared" si="2"/>
        <v>0</v>
      </c>
      <c r="H56" s="5">
        <v>804295.63</v>
      </c>
      <c r="I56" s="5">
        <f>INDEX('Revised 2020 Lockdown'!E$5:E$254,MATCH(B56,'Revised 2020 Lockdown'!B$5:B$254,0))</f>
        <v>804295.63</v>
      </c>
      <c r="J56" s="5">
        <f t="shared" si="3"/>
        <v>0</v>
      </c>
      <c r="K56" s="5">
        <v>2794.04</v>
      </c>
      <c r="L56" s="5">
        <f>INDEX('Revised 2020 Lockdown'!F$5:F$254,MATCH(B56,'Revised 2020 Lockdown'!B$5:B$254,0))</f>
        <v>2794.04</v>
      </c>
      <c r="M56" s="5">
        <f t="shared" si="4"/>
        <v>0</v>
      </c>
      <c r="N56" s="5">
        <f t="shared" si="1"/>
        <v>801501.59</v>
      </c>
      <c r="O56" s="60">
        <f>INDEX('Revised 2020 Lockdown'!G$5:G$254,MATCH(B56,'Revised 2020 Lockdown'!B$5:B$254,0))</f>
        <v>801501.59</v>
      </c>
      <c r="P56" s="5">
        <f t="shared" si="5"/>
        <v>0</v>
      </c>
      <c r="Q56" s="58">
        <f t="shared" si="6"/>
        <v>299.48457741558212</v>
      </c>
      <c r="R56" s="96">
        <f t="shared" si="7"/>
        <v>385836.69185818481</v>
      </c>
      <c r="T56" s="96">
        <v>386495.4560730487</v>
      </c>
      <c r="U56" s="5">
        <f t="shared" si="8"/>
        <v>-658.76421486388426</v>
      </c>
    </row>
    <row r="57" spans="2:21" x14ac:dyDescent="0.35">
      <c r="B57">
        <v>67</v>
      </c>
      <c r="C57" s="17">
        <v>5</v>
      </c>
      <c r="D57" s="22" t="s">
        <v>67</v>
      </c>
      <c r="E57" s="90">
        <v>1321.6502663569984</v>
      </c>
      <c r="F57" s="90">
        <f>INDEX('Revised 2020 Lockdown'!H$5:H$254,MATCH(B57,'Revised 2020 Lockdown'!B$5:B$254,0))</f>
        <v>1321.6502663569984</v>
      </c>
      <c r="G57" s="90">
        <f t="shared" si="2"/>
        <v>0</v>
      </c>
      <c r="H57" s="5">
        <v>218562.59</v>
      </c>
      <c r="I57" s="5">
        <f>INDEX('Revised 2020 Lockdown'!E$5:E$254,MATCH(B57,'Revised 2020 Lockdown'!B$5:B$254,0))</f>
        <v>218562.59</v>
      </c>
      <c r="J57" s="5">
        <f t="shared" si="3"/>
        <v>0</v>
      </c>
      <c r="K57" s="5">
        <v>0</v>
      </c>
      <c r="L57" s="5">
        <f>INDEX('Revised 2020 Lockdown'!F$5:F$254,MATCH(B57,'Revised 2020 Lockdown'!B$5:B$254,0))</f>
        <v>0</v>
      </c>
      <c r="M57" s="5">
        <f t="shared" si="4"/>
        <v>0</v>
      </c>
      <c r="N57" s="5">
        <f t="shared" si="1"/>
        <v>218562.59</v>
      </c>
      <c r="O57" s="60">
        <f>INDEX('Revised 2020 Lockdown'!G$5:G$254,MATCH(B57,'Revised 2020 Lockdown'!B$5:B$254,0))</f>
        <v>218562.59</v>
      </c>
      <c r="P57" s="5">
        <f t="shared" si="5"/>
        <v>0</v>
      </c>
      <c r="Q57" s="58">
        <f t="shared" si="6"/>
        <v>165.37097261172332</v>
      </c>
      <c r="R57" s="96">
        <f t="shared" si="7"/>
        <v>105214.34734715472</v>
      </c>
      <c r="T57" s="96">
        <v>105393.98668261751</v>
      </c>
      <c r="U57" s="5">
        <f t="shared" si="8"/>
        <v>-179.63933546279441</v>
      </c>
    </row>
    <row r="58" spans="2:21" x14ac:dyDescent="0.35">
      <c r="B58">
        <v>157</v>
      </c>
      <c r="C58" s="17">
        <v>5</v>
      </c>
      <c r="D58" s="22" t="s">
        <v>68</v>
      </c>
      <c r="E58" s="90">
        <v>376.20256066807764</v>
      </c>
      <c r="F58" s="90">
        <f>INDEX('Revised 2020 Lockdown'!H$5:H$254,MATCH(B58,'Revised 2020 Lockdown'!B$5:B$254,0))</f>
        <v>376.20256066807764</v>
      </c>
      <c r="G58" s="90">
        <f t="shared" si="2"/>
        <v>0</v>
      </c>
      <c r="H58" s="5">
        <v>150227.32999999999</v>
      </c>
      <c r="I58" s="5">
        <f>INDEX('Revised 2020 Lockdown'!E$5:E$254,MATCH(B58,'Revised 2020 Lockdown'!B$5:B$254,0))</f>
        <v>150227.32999999999</v>
      </c>
      <c r="J58" s="5">
        <f t="shared" si="3"/>
        <v>0</v>
      </c>
      <c r="K58" s="5">
        <v>140</v>
      </c>
      <c r="L58" s="5">
        <f>INDEX('Revised 2020 Lockdown'!F$5:F$254,MATCH(B58,'Revised 2020 Lockdown'!B$5:B$254,0))</f>
        <v>140</v>
      </c>
      <c r="M58" s="5">
        <f t="shared" si="4"/>
        <v>0</v>
      </c>
      <c r="N58" s="5">
        <f t="shared" si="1"/>
        <v>150087.32999999999</v>
      </c>
      <c r="O58" s="60">
        <f>INDEX('Revised 2020 Lockdown'!G$5:G$254,MATCH(B58,'Revised 2020 Lockdown'!B$5:B$254,0))</f>
        <v>150087.32999999999</v>
      </c>
      <c r="P58" s="5">
        <f t="shared" si="5"/>
        <v>0</v>
      </c>
      <c r="Q58" s="58">
        <f t="shared" si="6"/>
        <v>398.95350455209041</v>
      </c>
      <c r="R58" s="96">
        <f t="shared" si="7"/>
        <v>72250.884614000199</v>
      </c>
      <c r="T58" s="96">
        <v>72374.243273972999</v>
      </c>
      <c r="U58" s="5">
        <f t="shared" si="8"/>
        <v>-123.35865997280052</v>
      </c>
    </row>
    <row r="59" spans="2:21" x14ac:dyDescent="0.35">
      <c r="B59">
        <v>214</v>
      </c>
      <c r="C59" s="17">
        <v>5</v>
      </c>
      <c r="D59" s="22" t="s">
        <v>69</v>
      </c>
      <c r="E59" s="90">
        <v>3243.7900000000009</v>
      </c>
      <c r="F59" s="90">
        <f>INDEX('Revised 2020 Lockdown'!H$5:H$254,MATCH(B59,'Revised 2020 Lockdown'!B$5:B$254,0))</f>
        <v>3243.7900000000009</v>
      </c>
      <c r="G59" s="90">
        <f t="shared" si="2"/>
        <v>0</v>
      </c>
      <c r="H59" s="5">
        <v>2047370.02</v>
      </c>
      <c r="I59" s="5">
        <f>INDEX('Revised 2020 Lockdown'!E$5:E$254,MATCH(B59,'Revised 2020 Lockdown'!B$5:B$254,0))</f>
        <v>2047370.02</v>
      </c>
      <c r="J59" s="5">
        <f t="shared" si="3"/>
        <v>0</v>
      </c>
      <c r="K59" s="5">
        <v>758449.07</v>
      </c>
      <c r="L59" s="5">
        <f>INDEX('Revised 2020 Lockdown'!F$5:F$254,MATCH(B59,'Revised 2020 Lockdown'!B$5:B$254,0))</f>
        <v>758449.07</v>
      </c>
      <c r="M59" s="5">
        <f t="shared" si="4"/>
        <v>0</v>
      </c>
      <c r="N59" s="5">
        <f t="shared" si="1"/>
        <v>1288920.9500000002</v>
      </c>
      <c r="O59" s="60">
        <f>INDEX('Revised 2020 Lockdown'!G$5:G$254,MATCH(B59,'Revised 2020 Lockdown'!B$5:B$254,0))</f>
        <v>1288920.9500000002</v>
      </c>
      <c r="P59" s="5">
        <f t="shared" si="5"/>
        <v>0</v>
      </c>
      <c r="Q59" s="58">
        <f t="shared" si="6"/>
        <v>397.35030627753332</v>
      </c>
      <c r="R59" s="96">
        <f t="shared" si="7"/>
        <v>620476.61741345888</v>
      </c>
      <c r="T59" s="96">
        <v>621535.99771693198</v>
      </c>
      <c r="U59" s="5">
        <f t="shared" si="8"/>
        <v>-1059.3803034730954</v>
      </c>
    </row>
    <row r="60" spans="2:21" x14ac:dyDescent="0.35">
      <c r="B60">
        <v>223</v>
      </c>
      <c r="C60" s="17">
        <v>5</v>
      </c>
      <c r="D60" s="22" t="s">
        <v>70</v>
      </c>
      <c r="E60" s="90">
        <v>302.15999999999997</v>
      </c>
      <c r="F60" s="90">
        <f>INDEX('Revised 2020 Lockdown'!H$5:H$254,MATCH(B60,'Revised 2020 Lockdown'!B$5:B$254,0))</f>
        <v>302.15999999999997</v>
      </c>
      <c r="G60" s="90">
        <f t="shared" si="2"/>
        <v>0</v>
      </c>
      <c r="H60" s="5">
        <v>257160.23</v>
      </c>
      <c r="I60" s="5">
        <f>INDEX('Revised 2020 Lockdown'!E$5:E$254,MATCH(B60,'Revised 2020 Lockdown'!B$5:B$254,0))</f>
        <v>257160.23</v>
      </c>
      <c r="J60" s="5">
        <f t="shared" si="3"/>
        <v>0</v>
      </c>
      <c r="K60" s="5">
        <v>239.17</v>
      </c>
      <c r="L60" s="5">
        <f>INDEX('Revised 2020 Lockdown'!F$5:F$254,MATCH(B60,'Revised 2020 Lockdown'!B$5:B$254,0))</f>
        <v>239.17</v>
      </c>
      <c r="M60" s="5">
        <f t="shared" si="4"/>
        <v>0</v>
      </c>
      <c r="N60" s="5">
        <f t="shared" si="1"/>
        <v>256921.06</v>
      </c>
      <c r="O60" s="60">
        <f>INDEX('Revised 2020 Lockdown'!G$5:G$254,MATCH(B60,'Revised 2020 Lockdown'!B$5:B$254,0))</f>
        <v>256921.06</v>
      </c>
      <c r="P60" s="5">
        <f t="shared" si="5"/>
        <v>0</v>
      </c>
      <c r="Q60" s="58">
        <f t="shared" si="6"/>
        <v>850.28150648662972</v>
      </c>
      <c r="R60" s="96">
        <f t="shared" si="7"/>
        <v>123679.81934895253</v>
      </c>
      <c r="T60" s="96">
        <v>123890.98599226873</v>
      </c>
      <c r="U60" s="5">
        <f t="shared" si="8"/>
        <v>-211.16664331620268</v>
      </c>
    </row>
    <row r="61" spans="2:21" x14ac:dyDescent="0.35">
      <c r="B61">
        <v>224</v>
      </c>
      <c r="C61" s="17">
        <v>5</v>
      </c>
      <c r="D61" s="22" t="s">
        <v>71</v>
      </c>
      <c r="E61" s="90">
        <v>175.72469366475895</v>
      </c>
      <c r="F61" s="90">
        <f>INDEX('Revised 2020 Lockdown'!H$5:H$254,MATCH(B61,'Revised 2020 Lockdown'!B$5:B$254,0))</f>
        <v>175.72469366475895</v>
      </c>
      <c r="G61" s="90">
        <f t="shared" si="2"/>
        <v>0</v>
      </c>
      <c r="H61" s="5">
        <v>90520.65</v>
      </c>
      <c r="I61" s="5">
        <f>INDEX('Revised 2020 Lockdown'!E$5:E$254,MATCH(B61,'Revised 2020 Lockdown'!B$5:B$254,0))</f>
        <v>90520.65</v>
      </c>
      <c r="J61" s="5">
        <f t="shared" si="3"/>
        <v>0</v>
      </c>
      <c r="K61" s="5">
        <v>255</v>
      </c>
      <c r="L61" s="5">
        <f>INDEX('Revised 2020 Lockdown'!F$5:F$254,MATCH(B61,'Revised 2020 Lockdown'!B$5:B$254,0))</f>
        <v>255</v>
      </c>
      <c r="M61" s="5">
        <f t="shared" si="4"/>
        <v>0</v>
      </c>
      <c r="N61" s="5">
        <f t="shared" si="1"/>
        <v>90265.65</v>
      </c>
      <c r="O61" s="60">
        <f>INDEX('Revised 2020 Lockdown'!G$5:G$254,MATCH(B61,'Revised 2020 Lockdown'!B$5:B$254,0))</f>
        <v>90265.65</v>
      </c>
      <c r="P61" s="5">
        <f t="shared" si="5"/>
        <v>0</v>
      </c>
      <c r="Q61" s="58">
        <f t="shared" si="6"/>
        <v>513.67652500908866</v>
      </c>
      <c r="R61" s="96">
        <f t="shared" si="7"/>
        <v>43453.18863862611</v>
      </c>
      <c r="T61" s="96">
        <v>43527.379109104688</v>
      </c>
      <c r="U61" s="5">
        <f t="shared" si="8"/>
        <v>-74.190470478577481</v>
      </c>
    </row>
    <row r="62" spans="2:21" x14ac:dyDescent="0.35">
      <c r="B62">
        <v>233</v>
      </c>
      <c r="C62" s="17">
        <v>5</v>
      </c>
      <c r="D62" s="22" t="s">
        <v>72</v>
      </c>
      <c r="E62" s="90">
        <v>2307.9799999999996</v>
      </c>
      <c r="F62" s="90">
        <f>INDEX('Revised 2020 Lockdown'!H$5:H$254,MATCH(B62,'Revised 2020 Lockdown'!B$5:B$254,0))</f>
        <v>2307.9799999999996</v>
      </c>
      <c r="G62" s="90">
        <f t="shared" si="2"/>
        <v>0</v>
      </c>
      <c r="H62" s="5">
        <v>792036.92</v>
      </c>
      <c r="I62" s="5">
        <f>INDEX('Revised 2020 Lockdown'!E$5:E$254,MATCH(B62,'Revised 2020 Lockdown'!B$5:B$254,0))</f>
        <v>792036.92</v>
      </c>
      <c r="J62" s="5">
        <f t="shared" si="3"/>
        <v>0</v>
      </c>
      <c r="K62" s="5">
        <v>177381.26</v>
      </c>
      <c r="L62" s="5">
        <f>INDEX('Revised 2020 Lockdown'!F$5:F$254,MATCH(B62,'Revised 2020 Lockdown'!B$5:B$254,0))</f>
        <v>177381.26</v>
      </c>
      <c r="M62" s="5">
        <f t="shared" si="4"/>
        <v>0</v>
      </c>
      <c r="N62" s="5">
        <f t="shared" si="1"/>
        <v>614655.66</v>
      </c>
      <c r="O62" s="60">
        <f>INDEX('Revised 2020 Lockdown'!G$5:G$254,MATCH(B62,'Revised 2020 Lockdown'!B$5:B$254,0))</f>
        <v>614655.66</v>
      </c>
      <c r="P62" s="5">
        <f t="shared" si="5"/>
        <v>0</v>
      </c>
      <c r="Q62" s="58">
        <f t="shared" si="6"/>
        <v>266.31758507439412</v>
      </c>
      <c r="R62" s="96">
        <f t="shared" si="7"/>
        <v>295890.50033738452</v>
      </c>
      <c r="T62" s="96">
        <v>296395.69353765197</v>
      </c>
      <c r="U62" s="5">
        <f t="shared" si="8"/>
        <v>-505.1932002674439</v>
      </c>
    </row>
    <row r="63" spans="2:21" x14ac:dyDescent="0.35">
      <c r="B63">
        <v>272</v>
      </c>
      <c r="C63" s="17">
        <v>5</v>
      </c>
      <c r="D63" s="22" t="s">
        <v>73</v>
      </c>
      <c r="E63" s="90">
        <v>341.829327199609</v>
      </c>
      <c r="F63" s="90">
        <f>INDEX('Revised 2020 Lockdown'!H$5:H$254,MATCH(B63,'Revised 2020 Lockdown'!B$5:B$254,0))</f>
        <v>341.829327199609</v>
      </c>
      <c r="G63" s="90">
        <f t="shared" si="2"/>
        <v>0</v>
      </c>
      <c r="H63" s="5">
        <v>107113.39</v>
      </c>
      <c r="I63" s="5">
        <f>INDEX('Revised 2020 Lockdown'!E$5:E$254,MATCH(B63,'Revised 2020 Lockdown'!B$5:B$254,0))</f>
        <v>107113.39</v>
      </c>
      <c r="J63" s="5">
        <f t="shared" si="3"/>
        <v>0</v>
      </c>
      <c r="K63" s="5">
        <v>0</v>
      </c>
      <c r="L63" s="5">
        <f>INDEX('Revised 2020 Lockdown'!F$5:F$254,MATCH(B63,'Revised 2020 Lockdown'!B$5:B$254,0))</f>
        <v>0</v>
      </c>
      <c r="M63" s="5">
        <f t="shared" si="4"/>
        <v>0</v>
      </c>
      <c r="N63" s="5">
        <f t="shared" si="1"/>
        <v>107113.39</v>
      </c>
      <c r="O63" s="60">
        <f>INDEX('Revised 2020 Lockdown'!G$5:G$254,MATCH(B63,'Revised 2020 Lockdown'!B$5:B$254,0))</f>
        <v>107113.39</v>
      </c>
      <c r="P63" s="5">
        <f t="shared" si="5"/>
        <v>0</v>
      </c>
      <c r="Q63" s="58">
        <f t="shared" si="6"/>
        <v>313.35342370273526</v>
      </c>
      <c r="R63" s="96">
        <f t="shared" si="7"/>
        <v>51563.560904870545</v>
      </c>
      <c r="T63" s="96">
        <v>51651.598744277399</v>
      </c>
      <c r="U63" s="5">
        <f t="shared" si="8"/>
        <v>-88.037839406853891</v>
      </c>
    </row>
    <row r="64" spans="2:21" x14ac:dyDescent="0.35">
      <c r="B64">
        <v>427</v>
      </c>
      <c r="C64" s="17">
        <v>5</v>
      </c>
      <c r="D64" s="22" t="s">
        <v>74</v>
      </c>
      <c r="E64" s="90">
        <v>437.07000000000005</v>
      </c>
      <c r="F64" s="90">
        <f>INDEX('Revised 2020 Lockdown'!H$5:H$254,MATCH(B64,'Revised 2020 Lockdown'!B$5:B$254,0))</f>
        <v>437.07000000000005</v>
      </c>
      <c r="G64" s="90">
        <f t="shared" si="2"/>
        <v>0</v>
      </c>
      <c r="H64" s="5">
        <v>238025.89</v>
      </c>
      <c r="I64" s="5">
        <f>INDEX('Revised 2020 Lockdown'!E$5:E$254,MATCH(B64,'Revised 2020 Lockdown'!B$5:B$254,0))</f>
        <v>240339.98</v>
      </c>
      <c r="J64" s="5">
        <f t="shared" si="3"/>
        <v>2314.0899999999965</v>
      </c>
      <c r="K64" s="5">
        <v>34068.35</v>
      </c>
      <c r="L64" s="5">
        <f>INDEX('Revised 2020 Lockdown'!F$5:F$254,MATCH(B64,'Revised 2020 Lockdown'!B$5:B$254,0))</f>
        <v>34068.35</v>
      </c>
      <c r="M64" s="5">
        <f t="shared" si="4"/>
        <v>0</v>
      </c>
      <c r="N64" s="5">
        <f t="shared" si="1"/>
        <v>203957.54</v>
      </c>
      <c r="O64" s="60">
        <f>INDEX('Revised 2020 Lockdown'!G$5:G$254,MATCH(B64,'Revised 2020 Lockdown'!B$5:B$254,0))</f>
        <v>206271.63</v>
      </c>
      <c r="P64" s="5">
        <f t="shared" si="5"/>
        <v>2314.0899999999965</v>
      </c>
      <c r="Q64" s="58">
        <f t="shared" si="6"/>
        <v>471.94186285949615</v>
      </c>
      <c r="R64" s="96">
        <f t="shared" si="7"/>
        <v>99297.573874302005</v>
      </c>
      <c r="T64" s="96">
        <v>98351.224034174506</v>
      </c>
      <c r="U64" s="5">
        <f t="shared" si="8"/>
        <v>946.34984012749919</v>
      </c>
    </row>
    <row r="65" spans="2:21" x14ac:dyDescent="0.35">
      <c r="B65">
        <v>524</v>
      </c>
      <c r="C65" s="17">
        <v>5</v>
      </c>
      <c r="D65" s="22" t="s">
        <v>75</v>
      </c>
      <c r="E65" s="90">
        <v>516.25917988933952</v>
      </c>
      <c r="F65" s="90">
        <f>INDEX('Revised 2020 Lockdown'!H$5:H$254,MATCH(B65,'Revised 2020 Lockdown'!B$5:B$254,0))</f>
        <v>516.25917988933952</v>
      </c>
      <c r="G65" s="90">
        <f t="shared" si="2"/>
        <v>0</v>
      </c>
      <c r="H65" s="5">
        <v>359695.52</v>
      </c>
      <c r="I65" s="5">
        <f>INDEX('Revised 2020 Lockdown'!E$5:E$254,MATCH(B65,'Revised 2020 Lockdown'!B$5:B$254,0))</f>
        <v>359695.52</v>
      </c>
      <c r="J65" s="5">
        <f t="shared" si="3"/>
        <v>0</v>
      </c>
      <c r="K65" s="5">
        <v>30004.35</v>
      </c>
      <c r="L65" s="5">
        <f>INDEX('Revised 2020 Lockdown'!F$5:F$254,MATCH(B65,'Revised 2020 Lockdown'!B$5:B$254,0))</f>
        <v>30004.35</v>
      </c>
      <c r="M65" s="5">
        <f t="shared" si="4"/>
        <v>0</v>
      </c>
      <c r="N65" s="5">
        <f t="shared" si="1"/>
        <v>329691.17000000004</v>
      </c>
      <c r="O65" s="60">
        <f>INDEX('Revised 2020 Lockdown'!G$5:G$254,MATCH(B65,'Revised 2020 Lockdown'!B$5:B$254,0))</f>
        <v>329691.17000000004</v>
      </c>
      <c r="P65" s="5">
        <f t="shared" si="5"/>
        <v>0</v>
      </c>
      <c r="Q65" s="58">
        <f t="shared" si="6"/>
        <v>638.61560790196415</v>
      </c>
      <c r="R65" s="96">
        <f t="shared" si="7"/>
        <v>158710.78979101521</v>
      </c>
      <c r="T65" s="96">
        <v>158981.76710093245</v>
      </c>
      <c r="U65" s="5">
        <f t="shared" si="8"/>
        <v>-270.97730991724529</v>
      </c>
    </row>
    <row r="66" spans="2:21" x14ac:dyDescent="0.35">
      <c r="B66">
        <v>565</v>
      </c>
      <c r="C66" s="17">
        <v>5</v>
      </c>
      <c r="D66" s="22" t="s">
        <v>76</v>
      </c>
      <c r="E66" s="90">
        <v>489.79749687617544</v>
      </c>
      <c r="F66" s="90">
        <f>INDEX('Revised 2020 Lockdown'!H$5:H$254,MATCH(B66,'Revised 2020 Lockdown'!B$5:B$254,0))</f>
        <v>489.79749687617544</v>
      </c>
      <c r="G66" s="90">
        <f t="shared" si="2"/>
        <v>0</v>
      </c>
      <c r="H66" s="5">
        <v>360070.01</v>
      </c>
      <c r="I66" s="5">
        <f>INDEX('Revised 2020 Lockdown'!E$5:E$254,MATCH(B66,'Revised 2020 Lockdown'!B$5:B$254,0))</f>
        <v>360070.01</v>
      </c>
      <c r="J66" s="5">
        <f t="shared" si="3"/>
        <v>0</v>
      </c>
      <c r="K66" s="5">
        <v>560</v>
      </c>
      <c r="L66" s="5">
        <f>INDEX('Revised 2020 Lockdown'!F$5:F$254,MATCH(B66,'Revised 2020 Lockdown'!B$5:B$254,0))</f>
        <v>560</v>
      </c>
      <c r="M66" s="5">
        <f t="shared" si="4"/>
        <v>0</v>
      </c>
      <c r="N66" s="5">
        <f t="shared" si="1"/>
        <v>359510.01</v>
      </c>
      <c r="O66" s="60">
        <f>INDEX('Revised 2020 Lockdown'!G$5:G$254,MATCH(B66,'Revised 2020 Lockdown'!B$5:B$254,0))</f>
        <v>359510.01</v>
      </c>
      <c r="P66" s="5">
        <f t="shared" si="5"/>
        <v>0</v>
      </c>
      <c r="Q66" s="58">
        <f t="shared" si="6"/>
        <v>733.99723823187867</v>
      </c>
      <c r="R66" s="96">
        <f t="shared" si="7"/>
        <v>173065.34968733246</v>
      </c>
      <c r="T66" s="96">
        <v>173360.8354760423</v>
      </c>
      <c r="U66" s="5">
        <f t="shared" si="8"/>
        <v>-295.48578870983329</v>
      </c>
    </row>
    <row r="67" spans="2:21" x14ac:dyDescent="0.35">
      <c r="B67">
        <v>613</v>
      </c>
      <c r="C67" s="17">
        <v>5</v>
      </c>
      <c r="D67" s="22" t="s">
        <v>77</v>
      </c>
      <c r="E67" s="90">
        <v>152.25244216441209</v>
      </c>
      <c r="F67" s="90">
        <f>INDEX('Revised 2020 Lockdown'!H$5:H$254,MATCH(B67,'Revised 2020 Lockdown'!B$5:B$254,0))</f>
        <v>152.25244216441209</v>
      </c>
      <c r="G67" s="90">
        <f t="shared" si="2"/>
        <v>0</v>
      </c>
      <c r="H67" s="5">
        <v>118450.49</v>
      </c>
      <c r="I67" s="5">
        <f>INDEX('Revised 2020 Lockdown'!E$5:E$254,MATCH(B67,'Revised 2020 Lockdown'!B$5:B$254,0))</f>
        <v>118450.49</v>
      </c>
      <c r="J67" s="5">
        <f t="shared" si="3"/>
        <v>0</v>
      </c>
      <c r="K67" s="5">
        <v>0</v>
      </c>
      <c r="L67" s="5">
        <f>INDEX('Revised 2020 Lockdown'!F$5:F$254,MATCH(B67,'Revised 2020 Lockdown'!B$5:B$254,0))</f>
        <v>0</v>
      </c>
      <c r="M67" s="5">
        <f t="shared" si="4"/>
        <v>0</v>
      </c>
      <c r="N67" s="5">
        <f t="shared" si="1"/>
        <v>118450.49</v>
      </c>
      <c r="O67" s="60">
        <f>INDEX('Revised 2020 Lockdown'!G$5:G$254,MATCH(B67,'Revised 2020 Lockdown'!B$5:B$254,0))</f>
        <v>118450.49</v>
      </c>
      <c r="P67" s="5">
        <f t="shared" si="5"/>
        <v>0</v>
      </c>
      <c r="Q67" s="58">
        <f t="shared" si="6"/>
        <v>777.98745501953567</v>
      </c>
      <c r="R67" s="96">
        <f t="shared" si="7"/>
        <v>57021.153520832078</v>
      </c>
      <c r="T67" s="96">
        <v>57118.509464998191</v>
      </c>
      <c r="U67" s="5">
        <f t="shared" si="8"/>
        <v>-97.355944166112749</v>
      </c>
    </row>
    <row r="68" spans="2:21" x14ac:dyDescent="0.35">
      <c r="B68">
        <v>696</v>
      </c>
      <c r="C68" s="17">
        <v>5</v>
      </c>
      <c r="D68" s="22" t="s">
        <v>78</v>
      </c>
      <c r="E68" s="90">
        <v>292.79000000000002</v>
      </c>
      <c r="F68" s="90">
        <f>INDEX('Revised 2020 Lockdown'!H$5:H$254,MATCH(B68,'Revised 2020 Lockdown'!B$5:B$254,0))</f>
        <v>292.79000000000002</v>
      </c>
      <c r="G68" s="90">
        <f t="shared" si="2"/>
        <v>0</v>
      </c>
      <c r="H68" s="5">
        <v>117674.26</v>
      </c>
      <c r="I68" s="5">
        <f>INDEX('Revised 2020 Lockdown'!E$5:E$254,MATCH(B68,'Revised 2020 Lockdown'!B$5:B$254,0))</f>
        <v>117674.26</v>
      </c>
      <c r="J68" s="5">
        <f t="shared" si="3"/>
        <v>0</v>
      </c>
      <c r="K68" s="5">
        <v>129</v>
      </c>
      <c r="L68" s="5">
        <f>INDEX('Revised 2020 Lockdown'!F$5:F$254,MATCH(B68,'Revised 2020 Lockdown'!B$5:B$254,0))</f>
        <v>129</v>
      </c>
      <c r="M68" s="5">
        <f t="shared" si="4"/>
        <v>0</v>
      </c>
      <c r="N68" s="5">
        <f t="shared" si="1"/>
        <v>117545.26</v>
      </c>
      <c r="O68" s="60">
        <f>INDEX('Revised 2020 Lockdown'!G$5:G$254,MATCH(B68,'Revised 2020 Lockdown'!B$5:B$254,0))</f>
        <v>117545.26</v>
      </c>
      <c r="P68" s="5">
        <f t="shared" si="5"/>
        <v>0</v>
      </c>
      <c r="Q68" s="58">
        <f t="shared" si="6"/>
        <v>401.46610198435735</v>
      </c>
      <c r="R68" s="96">
        <f t="shared" si="7"/>
        <v>56585.382771368204</v>
      </c>
      <c r="T68" s="96">
        <v>56681.994695637586</v>
      </c>
      <c r="U68" s="5">
        <f t="shared" si="8"/>
        <v>-96.611924269382143</v>
      </c>
    </row>
    <row r="69" spans="2:21" x14ac:dyDescent="0.35">
      <c r="B69">
        <v>731</v>
      </c>
      <c r="C69" s="17">
        <v>5</v>
      </c>
      <c r="D69" s="22" t="s">
        <v>79</v>
      </c>
      <c r="E69" s="90">
        <v>782.43155723259167</v>
      </c>
      <c r="F69" s="90">
        <f>INDEX('Revised 2020 Lockdown'!H$5:H$254,MATCH(B69,'Revised 2020 Lockdown'!B$5:B$254,0))</f>
        <v>811.33518866174882</v>
      </c>
      <c r="G69" s="90">
        <f t="shared" si="2"/>
        <v>28.903631429157144</v>
      </c>
      <c r="H69" s="5">
        <v>415321.62</v>
      </c>
      <c r="I69" s="5">
        <f>INDEX('Revised 2020 Lockdown'!E$5:E$254,MATCH(B69,'Revised 2020 Lockdown'!B$5:B$254,0))</f>
        <v>414804.91</v>
      </c>
      <c r="J69" s="5">
        <f t="shared" si="3"/>
        <v>-516.71000000002095</v>
      </c>
      <c r="K69" s="5">
        <v>15317.28</v>
      </c>
      <c r="L69" s="5">
        <f>INDEX('Revised 2020 Lockdown'!F$5:F$254,MATCH(B69,'Revised 2020 Lockdown'!B$5:B$254,0))</f>
        <v>14333.91</v>
      </c>
      <c r="M69" s="5">
        <f t="shared" si="4"/>
        <v>-983.3700000000008</v>
      </c>
      <c r="N69" s="5">
        <f t="shared" si="1"/>
        <v>400004.33999999997</v>
      </c>
      <c r="O69" s="60">
        <f>INDEX('Revised 2020 Lockdown'!G$5:G$254,MATCH(B69,'Revised 2020 Lockdown'!B$5:B$254,0))</f>
        <v>400471</v>
      </c>
      <c r="P69" s="5">
        <f t="shared" si="5"/>
        <v>466.6600000000326</v>
      </c>
      <c r="Q69" s="58">
        <f t="shared" si="6"/>
        <v>493.5950093087348</v>
      </c>
      <c r="R69" s="96">
        <f t="shared" si="7"/>
        <v>192783.65477121406</v>
      </c>
      <c r="T69" s="96">
        <v>192887.77682836392</v>
      </c>
      <c r="U69" s="5">
        <f t="shared" si="8"/>
        <v>-104.12205714985612</v>
      </c>
    </row>
    <row r="70" spans="2:21" x14ac:dyDescent="0.35">
      <c r="B70">
        <v>732</v>
      </c>
      <c r="C70" s="17">
        <v>5</v>
      </c>
      <c r="D70" s="22" t="s">
        <v>80</v>
      </c>
      <c r="E70" s="90">
        <v>221.35846266922772</v>
      </c>
      <c r="F70" s="90">
        <f>INDEX('Revised 2020 Lockdown'!H$5:H$254,MATCH(B70,'Revised 2020 Lockdown'!B$5:B$254,0))</f>
        <v>221.35846266922772</v>
      </c>
      <c r="G70" s="90">
        <f t="shared" si="2"/>
        <v>0</v>
      </c>
      <c r="H70" s="5">
        <v>91767.01</v>
      </c>
      <c r="I70" s="5">
        <f>INDEX('Revised 2020 Lockdown'!E$5:E$254,MATCH(B70,'Revised 2020 Lockdown'!B$5:B$254,0))</f>
        <v>91767.01</v>
      </c>
      <c r="J70" s="5">
        <f t="shared" si="3"/>
        <v>0</v>
      </c>
      <c r="K70" s="5">
        <v>0</v>
      </c>
      <c r="L70" s="5">
        <f>INDEX('Revised 2020 Lockdown'!F$5:F$254,MATCH(B70,'Revised 2020 Lockdown'!B$5:B$254,0))</f>
        <v>0</v>
      </c>
      <c r="M70" s="5">
        <f t="shared" si="4"/>
        <v>0</v>
      </c>
      <c r="N70" s="5">
        <f t="shared" si="1"/>
        <v>91767.01</v>
      </c>
      <c r="O70" s="60">
        <f>INDEX('Revised 2020 Lockdown'!G$5:G$254,MATCH(B70,'Revised 2020 Lockdown'!B$5:B$254,0))</f>
        <v>91767.01</v>
      </c>
      <c r="P70" s="5">
        <f t="shared" si="5"/>
        <v>0</v>
      </c>
      <c r="Q70" s="58">
        <f t="shared" si="6"/>
        <v>414.56291705967402</v>
      </c>
      <c r="R70" s="96">
        <f t="shared" si="7"/>
        <v>44175.931778397302</v>
      </c>
      <c r="T70" s="96">
        <v>44251.356235500447</v>
      </c>
      <c r="U70" s="5">
        <f t="shared" si="8"/>
        <v>-75.42445710314496</v>
      </c>
    </row>
    <row r="71" spans="2:21" x14ac:dyDescent="0.35">
      <c r="B71">
        <v>754</v>
      </c>
      <c r="C71" s="17">
        <v>5</v>
      </c>
      <c r="D71" s="22" t="s">
        <v>81</v>
      </c>
      <c r="E71" s="90">
        <v>99.520260711578032</v>
      </c>
      <c r="F71" s="90">
        <f>INDEX('Revised 2020 Lockdown'!H$5:H$254,MATCH(B71,'Revised 2020 Lockdown'!B$5:B$254,0))</f>
        <v>99.520260711578032</v>
      </c>
      <c r="G71" s="90">
        <f t="shared" si="2"/>
        <v>0</v>
      </c>
      <c r="H71" s="5">
        <v>36355.42</v>
      </c>
      <c r="I71" s="5">
        <f>INDEX('Revised 2020 Lockdown'!E$5:E$254,MATCH(B71,'Revised 2020 Lockdown'!B$5:B$254,0))</f>
        <v>36355.42</v>
      </c>
      <c r="J71" s="5">
        <f t="shared" si="3"/>
        <v>0</v>
      </c>
      <c r="K71" s="5">
        <v>0</v>
      </c>
      <c r="L71" s="5">
        <f>INDEX('Revised 2020 Lockdown'!F$5:F$254,MATCH(B71,'Revised 2020 Lockdown'!B$5:B$254,0))</f>
        <v>0</v>
      </c>
      <c r="M71" s="5">
        <f t="shared" si="4"/>
        <v>0</v>
      </c>
      <c r="N71" s="5">
        <f t="shared" si="1"/>
        <v>36355.42</v>
      </c>
      <c r="O71" s="60">
        <f>INDEX('Revised 2020 Lockdown'!G$5:G$254,MATCH(B71,'Revised 2020 Lockdown'!B$5:B$254,0))</f>
        <v>36355.42</v>
      </c>
      <c r="P71" s="5">
        <f t="shared" si="5"/>
        <v>0</v>
      </c>
      <c r="Q71" s="58">
        <f t="shared" si="6"/>
        <v>365.30671985840632</v>
      </c>
      <c r="R71" s="96">
        <f t="shared" si="7"/>
        <v>17501.219160294979</v>
      </c>
      <c r="T71" s="96">
        <v>17531.100136217119</v>
      </c>
      <c r="U71" s="5">
        <f t="shared" si="8"/>
        <v>-29.880975922140351</v>
      </c>
    </row>
    <row r="72" spans="2:21" x14ac:dyDescent="0.35">
      <c r="B72">
        <v>885</v>
      </c>
      <c r="C72" s="17">
        <v>5</v>
      </c>
      <c r="D72" s="22" t="s">
        <v>82</v>
      </c>
      <c r="E72" s="90">
        <v>35.334385264868693</v>
      </c>
      <c r="F72" s="90">
        <f>INDEX('Revised 2020 Lockdown'!H$5:H$254,MATCH(B72,'Revised 2020 Lockdown'!B$5:B$254,0))</f>
        <v>10.454320086974185</v>
      </c>
      <c r="G72" s="90">
        <f t="shared" si="2"/>
        <v>-24.880065177894508</v>
      </c>
      <c r="H72" s="5">
        <v>130726.23</v>
      </c>
      <c r="I72" s="5">
        <f>INDEX('Revised 2020 Lockdown'!E$5:E$254,MATCH(B72,'Revised 2020 Lockdown'!B$5:B$254,0))</f>
        <v>132562.76999999999</v>
      </c>
      <c r="J72" s="5">
        <f t="shared" si="3"/>
        <v>1836.5399999999936</v>
      </c>
      <c r="K72" s="5">
        <v>0</v>
      </c>
      <c r="L72" s="5">
        <f>INDEX('Revised 2020 Lockdown'!F$5:F$254,MATCH(B72,'Revised 2020 Lockdown'!B$5:B$254,0))</f>
        <v>0</v>
      </c>
      <c r="M72" s="5">
        <f t="shared" si="4"/>
        <v>0</v>
      </c>
      <c r="N72" s="5">
        <f t="shared" si="1"/>
        <v>130726.23</v>
      </c>
      <c r="O72" s="60">
        <f>INDEX('Revised 2020 Lockdown'!G$5:G$254,MATCH(B72,'Revised 2020 Lockdown'!B$5:B$254,0))</f>
        <v>132562.76999999999</v>
      </c>
      <c r="P72" s="5">
        <f t="shared" si="5"/>
        <v>1836.5399999999936</v>
      </c>
      <c r="Q72" s="58">
        <f t="shared" si="6"/>
        <v>12680.190476009033</v>
      </c>
      <c r="R72" s="96">
        <f t="shared" si="7"/>
        <v>63814.696412963356</v>
      </c>
      <c r="T72" s="96">
        <v>63038.045731837243</v>
      </c>
      <c r="U72" s="5">
        <f t="shared" si="8"/>
        <v>776.65068112611334</v>
      </c>
    </row>
    <row r="73" spans="2:21" x14ac:dyDescent="0.35">
      <c r="B73">
        <v>909</v>
      </c>
      <c r="C73" s="17">
        <v>5</v>
      </c>
      <c r="D73" s="22" t="s">
        <v>83</v>
      </c>
      <c r="E73" s="90">
        <v>481.23999999999995</v>
      </c>
      <c r="F73" s="90">
        <f>INDEX('Revised 2020 Lockdown'!H$5:H$254,MATCH(B73,'Revised 2020 Lockdown'!B$5:B$254,0))</f>
        <v>481.76</v>
      </c>
      <c r="G73" s="90">
        <f t="shared" si="2"/>
        <v>0.52000000000003865</v>
      </c>
      <c r="H73" s="5">
        <v>189729.81</v>
      </c>
      <c r="I73" s="5">
        <f>INDEX('Revised 2020 Lockdown'!E$5:E$254,MATCH(B73,'Revised 2020 Lockdown'!B$5:B$254,0))</f>
        <v>189927.52</v>
      </c>
      <c r="J73" s="5">
        <f t="shared" si="3"/>
        <v>197.70999999999185</v>
      </c>
      <c r="K73" s="5">
        <v>1334.85</v>
      </c>
      <c r="L73" s="5">
        <f>INDEX('Revised 2020 Lockdown'!F$5:F$254,MATCH(B73,'Revised 2020 Lockdown'!B$5:B$254,0))</f>
        <v>1334.85</v>
      </c>
      <c r="M73" s="5">
        <f t="shared" si="4"/>
        <v>0</v>
      </c>
      <c r="N73" s="5">
        <f t="shared" si="1"/>
        <v>188394.96</v>
      </c>
      <c r="O73" s="60">
        <f>INDEX('Revised 2020 Lockdown'!G$5:G$254,MATCH(B73,'Revised 2020 Lockdown'!B$5:B$254,0))</f>
        <v>188592.66999999998</v>
      </c>
      <c r="P73" s="5">
        <f t="shared" si="5"/>
        <v>197.70999999999185</v>
      </c>
      <c r="Q73" s="58">
        <f t="shared" si="6"/>
        <v>391.4660204251079</v>
      </c>
      <c r="R73" s="96">
        <f t="shared" si="7"/>
        <v>90787.058702531504</v>
      </c>
      <c r="T73" s="96">
        <v>90846.726813185451</v>
      </c>
      <c r="U73" s="5">
        <f t="shared" si="8"/>
        <v>-59.668110653947224</v>
      </c>
    </row>
    <row r="74" spans="2:21" x14ac:dyDescent="0.35">
      <c r="B74">
        <v>923</v>
      </c>
      <c r="C74" s="17">
        <v>5</v>
      </c>
      <c r="D74" s="22" t="s">
        <v>84</v>
      </c>
      <c r="E74" s="90">
        <v>44.48</v>
      </c>
      <c r="F74" s="90">
        <f>INDEX('Revised 2020 Lockdown'!H$5:H$254,MATCH(B74,'Revised 2020 Lockdown'!B$5:B$254,0))</f>
        <v>50.790000000000006</v>
      </c>
      <c r="G74" s="90">
        <f t="shared" si="2"/>
        <v>6.3100000000000094</v>
      </c>
      <c r="H74" s="5">
        <v>33457.160000000003</v>
      </c>
      <c r="I74" s="5">
        <f>INDEX('Revised 2020 Lockdown'!E$5:E$254,MATCH(B74,'Revised 2020 Lockdown'!B$5:B$254,0))</f>
        <v>33457.160000000003</v>
      </c>
      <c r="J74" s="5">
        <f t="shared" si="3"/>
        <v>0</v>
      </c>
      <c r="K74" s="5">
        <v>84.96</v>
      </c>
      <c r="L74" s="5">
        <f>INDEX('Revised 2020 Lockdown'!F$5:F$254,MATCH(B74,'Revised 2020 Lockdown'!B$5:B$254,0))</f>
        <v>84.96</v>
      </c>
      <c r="M74" s="5">
        <f t="shared" si="4"/>
        <v>0</v>
      </c>
      <c r="N74" s="5">
        <f t="shared" si="1"/>
        <v>33372.200000000004</v>
      </c>
      <c r="O74" s="60">
        <f>INDEX('Revised 2020 Lockdown'!G$5:G$254,MATCH(B74,'Revised 2020 Lockdown'!B$5:B$254,0))</f>
        <v>33372.200000000004</v>
      </c>
      <c r="P74" s="5">
        <f t="shared" si="5"/>
        <v>0</v>
      </c>
      <c r="Q74" s="58">
        <f t="shared" si="6"/>
        <v>657.06241386099623</v>
      </c>
      <c r="R74" s="96">
        <f t="shared" si="7"/>
        <v>16065.120030553799</v>
      </c>
      <c r="T74" s="96">
        <v>16092.549060521513</v>
      </c>
      <c r="U74" s="5">
        <f t="shared" si="8"/>
        <v>-27.429029967714087</v>
      </c>
    </row>
    <row r="75" spans="2:21" x14ac:dyDescent="0.35">
      <c r="B75">
        <v>394</v>
      </c>
      <c r="C75" s="17">
        <v>6</v>
      </c>
      <c r="D75" s="22" t="s">
        <v>85</v>
      </c>
      <c r="E75" s="90">
        <v>519.76</v>
      </c>
      <c r="F75" s="90">
        <f>INDEX('Revised 2020 Lockdown'!H$5:H$254,MATCH(B75,'Revised 2020 Lockdown'!B$5:B$254,0))</f>
        <v>519.76</v>
      </c>
      <c r="G75" s="90">
        <f t="shared" si="2"/>
        <v>0</v>
      </c>
      <c r="H75" s="5">
        <v>424157.84</v>
      </c>
      <c r="I75" s="5">
        <f>INDEX('Revised 2020 Lockdown'!E$5:E$254,MATCH(B75,'Revised 2020 Lockdown'!B$5:B$254,0))</f>
        <v>424157.84</v>
      </c>
      <c r="J75" s="5">
        <f t="shared" si="3"/>
        <v>0</v>
      </c>
      <c r="K75" s="5">
        <v>18641.16</v>
      </c>
      <c r="L75" s="5">
        <f>INDEX('Revised 2020 Lockdown'!F$5:F$254,MATCH(B75,'Revised 2020 Lockdown'!B$5:B$254,0))</f>
        <v>18641.16</v>
      </c>
      <c r="M75" s="5">
        <f t="shared" si="4"/>
        <v>0</v>
      </c>
      <c r="N75" s="5">
        <f t="shared" si="1"/>
        <v>405516.68000000005</v>
      </c>
      <c r="O75" s="60">
        <f>INDEX('Revised 2020 Lockdown'!G$5:G$254,MATCH(B75,'Revised 2020 Lockdown'!B$5:B$254,0))</f>
        <v>405516.68000000005</v>
      </c>
      <c r="P75" s="5">
        <f t="shared" si="5"/>
        <v>0</v>
      </c>
      <c r="Q75" s="58">
        <f t="shared" si="6"/>
        <v>780.19986147452687</v>
      </c>
      <c r="R75" s="96">
        <f t="shared" si="7"/>
        <v>195212.60625885244</v>
      </c>
      <c r="T75" s="96">
        <v>195545.90550697295</v>
      </c>
      <c r="U75" s="5">
        <f t="shared" si="8"/>
        <v>-333.29924812051468</v>
      </c>
    </row>
    <row r="76" spans="2:21" x14ac:dyDescent="0.35">
      <c r="B76">
        <v>414</v>
      </c>
      <c r="C76" s="17">
        <v>6</v>
      </c>
      <c r="D76" s="22" t="s">
        <v>86</v>
      </c>
      <c r="E76" s="90">
        <v>191.23356743937211</v>
      </c>
      <c r="F76" s="90">
        <f>INDEX('Revised 2020 Lockdown'!H$5:H$254,MATCH(B76,'Revised 2020 Lockdown'!B$5:B$254,0))</f>
        <v>191.23356743937211</v>
      </c>
      <c r="G76" s="90">
        <f t="shared" si="2"/>
        <v>0</v>
      </c>
      <c r="H76" s="5">
        <v>229461.81</v>
      </c>
      <c r="I76" s="5">
        <f>INDEX('Revised 2020 Lockdown'!E$5:E$254,MATCH(B76,'Revised 2020 Lockdown'!B$5:B$254,0))</f>
        <v>229461.81</v>
      </c>
      <c r="J76" s="5">
        <f t="shared" si="3"/>
        <v>0</v>
      </c>
      <c r="K76" s="5">
        <v>12694.75</v>
      </c>
      <c r="L76" s="5">
        <f>INDEX('Revised 2020 Lockdown'!F$5:F$254,MATCH(B76,'Revised 2020 Lockdown'!B$5:B$254,0))</f>
        <v>12694.75</v>
      </c>
      <c r="M76" s="5">
        <f t="shared" si="4"/>
        <v>0</v>
      </c>
      <c r="N76" s="5">
        <f t="shared" si="1"/>
        <v>216767.06</v>
      </c>
      <c r="O76" s="60">
        <f>INDEX('Revised 2020 Lockdown'!G$5:G$254,MATCH(B76,'Revised 2020 Lockdown'!B$5:B$254,0))</f>
        <v>216767.06</v>
      </c>
      <c r="P76" s="5">
        <f t="shared" si="5"/>
        <v>0</v>
      </c>
      <c r="Q76" s="58">
        <f t="shared" si="6"/>
        <v>1133.5199301175141</v>
      </c>
      <c r="R76" s="96">
        <f t="shared" si="7"/>
        <v>104349.99303522862</v>
      </c>
      <c r="T76" s="96">
        <v>104528.1566020523</v>
      </c>
      <c r="U76" s="5">
        <f t="shared" si="8"/>
        <v>-178.16356682368496</v>
      </c>
    </row>
    <row r="77" spans="2:21" x14ac:dyDescent="0.35">
      <c r="B77">
        <v>426</v>
      </c>
      <c r="C77" s="17">
        <v>6</v>
      </c>
      <c r="D77" s="22" t="s">
        <v>87</v>
      </c>
      <c r="E77" s="90">
        <v>501.91164666939414</v>
      </c>
      <c r="F77" s="90">
        <f>INDEX('Revised 2020 Lockdown'!H$5:H$254,MATCH(B77,'Revised 2020 Lockdown'!B$5:B$254,0))</f>
        <v>501.91164666939414</v>
      </c>
      <c r="G77" s="90">
        <f t="shared" si="2"/>
        <v>0</v>
      </c>
      <c r="H77" s="5">
        <v>186430.85</v>
      </c>
      <c r="I77" s="5">
        <f>INDEX('Revised 2020 Lockdown'!E$5:E$254,MATCH(B77,'Revised 2020 Lockdown'!B$5:B$254,0))</f>
        <v>186430.85</v>
      </c>
      <c r="J77" s="5">
        <f t="shared" si="3"/>
        <v>0</v>
      </c>
      <c r="K77" s="5">
        <v>0</v>
      </c>
      <c r="L77" s="5">
        <f>INDEX('Revised 2020 Lockdown'!F$5:F$254,MATCH(B77,'Revised 2020 Lockdown'!B$5:B$254,0))</f>
        <v>0</v>
      </c>
      <c r="M77" s="5">
        <f t="shared" si="4"/>
        <v>0</v>
      </c>
      <c r="N77" s="5">
        <f t="shared" si="1"/>
        <v>186430.85</v>
      </c>
      <c r="O77" s="60">
        <f>INDEX('Revised 2020 Lockdown'!G$5:G$254,MATCH(B77,'Revised 2020 Lockdown'!B$5:B$254,0))</f>
        <v>186430.85</v>
      </c>
      <c r="P77" s="5">
        <f t="shared" si="5"/>
        <v>0</v>
      </c>
      <c r="Q77" s="58">
        <f t="shared" si="6"/>
        <v>371.4415699199759</v>
      </c>
      <c r="R77" s="96">
        <f t="shared" si="7"/>
        <v>89746.375205954973</v>
      </c>
      <c r="T77" s="96">
        <v>89899.605061090566</v>
      </c>
      <c r="U77" s="5">
        <f t="shared" si="8"/>
        <v>-153.22985513559252</v>
      </c>
    </row>
    <row r="78" spans="2:21" x14ac:dyDescent="0.35">
      <c r="B78">
        <v>430</v>
      </c>
      <c r="C78" s="17">
        <v>6</v>
      </c>
      <c r="D78" s="22" t="s">
        <v>88</v>
      </c>
      <c r="E78" s="90">
        <v>2802.7979713615323</v>
      </c>
      <c r="F78" s="90">
        <f>INDEX('Revised 2020 Lockdown'!H$5:H$254,MATCH(B78,'Revised 2020 Lockdown'!B$5:B$254,0))</f>
        <v>2802.7979713615323</v>
      </c>
      <c r="G78" s="90">
        <f t="shared" si="2"/>
        <v>0</v>
      </c>
      <c r="H78" s="5">
        <v>1798380.04</v>
      </c>
      <c r="I78" s="5">
        <f>INDEX('Revised 2020 Lockdown'!E$5:E$254,MATCH(B78,'Revised 2020 Lockdown'!B$5:B$254,0))</f>
        <v>1798380.04</v>
      </c>
      <c r="J78" s="5">
        <f t="shared" si="3"/>
        <v>0</v>
      </c>
      <c r="K78" s="5">
        <v>40</v>
      </c>
      <c r="L78" s="5">
        <f>INDEX('Revised 2020 Lockdown'!F$5:F$254,MATCH(B78,'Revised 2020 Lockdown'!B$5:B$254,0))</f>
        <v>40</v>
      </c>
      <c r="M78" s="5">
        <f t="shared" si="4"/>
        <v>0</v>
      </c>
      <c r="N78" s="5">
        <f t="shared" si="1"/>
        <v>1798340.04</v>
      </c>
      <c r="O78" s="60">
        <f>INDEX('Revised 2020 Lockdown'!G$5:G$254,MATCH(B78,'Revised 2020 Lockdown'!B$5:B$254,0))</f>
        <v>1798340.04</v>
      </c>
      <c r="P78" s="5">
        <f t="shared" si="5"/>
        <v>0</v>
      </c>
      <c r="Q78" s="58">
        <f t="shared" si="6"/>
        <v>641.6231417230581</v>
      </c>
      <c r="R78" s="96">
        <f t="shared" si="7"/>
        <v>865707.04353776248</v>
      </c>
      <c r="T78" s="96">
        <v>867185.12178400636</v>
      </c>
      <c r="U78" s="5">
        <f t="shared" si="8"/>
        <v>-1478.0782462438801</v>
      </c>
    </row>
    <row r="79" spans="2:21" x14ac:dyDescent="0.35">
      <c r="B79">
        <v>443</v>
      </c>
      <c r="C79" s="17">
        <v>6</v>
      </c>
      <c r="D79" s="22" t="s">
        <v>89</v>
      </c>
      <c r="E79" s="90">
        <v>15.06</v>
      </c>
      <c r="F79" s="90">
        <f>INDEX('Revised 2020 Lockdown'!H$5:H$254,MATCH(B79,'Revised 2020 Lockdown'!B$5:B$254,0))</f>
        <v>15.06</v>
      </c>
      <c r="G79" s="90">
        <f t="shared" si="2"/>
        <v>0</v>
      </c>
      <c r="H79" s="5">
        <v>15828.58</v>
      </c>
      <c r="I79" s="5">
        <f>INDEX('Revised 2020 Lockdown'!E$5:E$254,MATCH(B79,'Revised 2020 Lockdown'!B$5:B$254,0))</f>
        <v>15828.58</v>
      </c>
      <c r="J79" s="5">
        <f t="shared" si="3"/>
        <v>0</v>
      </c>
      <c r="K79" s="5">
        <v>0</v>
      </c>
      <c r="L79" s="5">
        <f>INDEX('Revised 2020 Lockdown'!F$5:F$254,MATCH(B79,'Revised 2020 Lockdown'!B$5:B$254,0))</f>
        <v>0</v>
      </c>
      <c r="M79" s="5">
        <f t="shared" si="4"/>
        <v>0</v>
      </c>
      <c r="N79" s="5">
        <f t="shared" si="1"/>
        <v>15828.58</v>
      </c>
      <c r="O79" s="60">
        <f>INDEX('Revised 2020 Lockdown'!G$5:G$254,MATCH(B79,'Revised 2020 Lockdown'!B$5:B$254,0))</f>
        <v>15828.58</v>
      </c>
      <c r="P79" s="5">
        <f t="shared" si="5"/>
        <v>0</v>
      </c>
      <c r="Q79" s="58">
        <f t="shared" si="6"/>
        <v>1051.0345285524568</v>
      </c>
      <c r="R79" s="96">
        <f t="shared" si="7"/>
        <v>7619.7564923266436</v>
      </c>
      <c r="T79" s="96">
        <v>7632.7662008614825</v>
      </c>
      <c r="U79" s="5">
        <f t="shared" si="8"/>
        <v>-13.009708534838865</v>
      </c>
    </row>
    <row r="80" spans="2:21" x14ac:dyDescent="0.35">
      <c r="B80">
        <v>562</v>
      </c>
      <c r="C80" s="17">
        <v>6</v>
      </c>
      <c r="D80" s="22" t="s">
        <v>90</v>
      </c>
      <c r="E80" s="90">
        <v>87.049812395029448</v>
      </c>
      <c r="F80" s="90">
        <f>INDEX('Revised 2020 Lockdown'!H$5:H$254,MATCH(B80,'Revised 2020 Lockdown'!B$5:B$254,0))</f>
        <v>87.049812395029448</v>
      </c>
      <c r="G80" s="90">
        <f t="shared" si="2"/>
        <v>0</v>
      </c>
      <c r="H80" s="5">
        <v>46703.15</v>
      </c>
      <c r="I80" s="5">
        <f>INDEX('Revised 2020 Lockdown'!E$5:E$254,MATCH(B80,'Revised 2020 Lockdown'!B$5:B$254,0))</f>
        <v>46703.15</v>
      </c>
      <c r="J80" s="5">
        <f t="shared" si="3"/>
        <v>0</v>
      </c>
      <c r="K80" s="5">
        <v>0</v>
      </c>
      <c r="L80" s="5">
        <f>INDEX('Revised 2020 Lockdown'!F$5:F$254,MATCH(B80,'Revised 2020 Lockdown'!B$5:B$254,0))</f>
        <v>0</v>
      </c>
      <c r="M80" s="5">
        <f t="shared" si="4"/>
        <v>0</v>
      </c>
      <c r="N80" s="5">
        <f t="shared" si="1"/>
        <v>46703.15</v>
      </c>
      <c r="O80" s="60">
        <f>INDEX('Revised 2020 Lockdown'!G$5:G$254,MATCH(B80,'Revised 2020 Lockdown'!B$5:B$254,0))</f>
        <v>46703.15</v>
      </c>
      <c r="P80" s="5">
        <f t="shared" si="5"/>
        <v>0</v>
      </c>
      <c r="Q80" s="58">
        <f t="shared" si="6"/>
        <v>536.51063356762336</v>
      </c>
      <c r="R80" s="96">
        <f t="shared" si="7"/>
        <v>22482.536678881181</v>
      </c>
      <c r="T80" s="96">
        <v>22520.922583943979</v>
      </c>
      <c r="U80" s="5">
        <f t="shared" si="8"/>
        <v>-38.385905062797974</v>
      </c>
    </row>
    <row r="81" spans="2:21" x14ac:dyDescent="0.35">
      <c r="B81">
        <v>603</v>
      </c>
      <c r="C81" s="17">
        <v>6</v>
      </c>
      <c r="D81" s="22" t="s">
        <v>91</v>
      </c>
      <c r="E81" s="90">
        <v>104.05602741883</v>
      </c>
      <c r="F81" s="90">
        <f>INDEX('Revised 2020 Lockdown'!H$5:H$254,MATCH(B81,'Revised 2020 Lockdown'!B$5:B$254,0))</f>
        <v>104.05602741883</v>
      </c>
      <c r="G81" s="90">
        <f t="shared" si="2"/>
        <v>0</v>
      </c>
      <c r="H81" s="5">
        <v>87352.79</v>
      </c>
      <c r="I81" s="5">
        <f>INDEX('Revised 2020 Lockdown'!E$5:E$254,MATCH(B81,'Revised 2020 Lockdown'!B$5:B$254,0))</f>
        <v>87352.79</v>
      </c>
      <c r="J81" s="5">
        <f t="shared" si="3"/>
        <v>0</v>
      </c>
      <c r="K81" s="5">
        <v>0</v>
      </c>
      <c r="L81" s="5">
        <f>INDEX('Revised 2020 Lockdown'!F$5:F$254,MATCH(B81,'Revised 2020 Lockdown'!B$5:B$254,0))</f>
        <v>0</v>
      </c>
      <c r="M81" s="5">
        <f t="shared" si="4"/>
        <v>0</v>
      </c>
      <c r="N81" s="5">
        <f t="shared" si="1"/>
        <v>87352.79</v>
      </c>
      <c r="O81" s="60">
        <f>INDEX('Revised 2020 Lockdown'!G$5:G$254,MATCH(B81,'Revised 2020 Lockdown'!B$5:B$254,0))</f>
        <v>87352.79</v>
      </c>
      <c r="P81" s="5">
        <f t="shared" si="5"/>
        <v>0</v>
      </c>
      <c r="Q81" s="58">
        <f t="shared" si="6"/>
        <v>839.47842491046913</v>
      </c>
      <c r="R81" s="96">
        <f t="shared" si="7"/>
        <v>42050.960270936863</v>
      </c>
      <c r="T81" s="96">
        <v>42122.756625227965</v>
      </c>
      <c r="U81" s="5">
        <f t="shared" si="8"/>
        <v>-71.796354291102034</v>
      </c>
    </row>
    <row r="82" spans="2:21" x14ac:dyDescent="0.35">
      <c r="B82">
        <v>618</v>
      </c>
      <c r="C82" s="17">
        <v>6</v>
      </c>
      <c r="D82" s="22" t="s">
        <v>92</v>
      </c>
      <c r="E82" s="90">
        <v>19.804983772414104</v>
      </c>
      <c r="F82" s="90">
        <f>INDEX('Revised 2020 Lockdown'!H$5:H$254,MATCH(B82,'Revised 2020 Lockdown'!B$5:B$254,0))</f>
        <v>19.804983772414104</v>
      </c>
      <c r="G82" s="90">
        <f t="shared" si="2"/>
        <v>0</v>
      </c>
      <c r="H82" s="5">
        <v>17634.439999999999</v>
      </c>
      <c r="I82" s="5">
        <f>INDEX('Revised 2020 Lockdown'!E$5:E$254,MATCH(B82,'Revised 2020 Lockdown'!B$5:B$254,0))</f>
        <v>17634.439999999999</v>
      </c>
      <c r="J82" s="5">
        <f t="shared" si="3"/>
        <v>0</v>
      </c>
      <c r="K82" s="5">
        <v>0</v>
      </c>
      <c r="L82" s="5">
        <f>INDEX('Revised 2020 Lockdown'!F$5:F$254,MATCH(B82,'Revised 2020 Lockdown'!B$5:B$254,0))</f>
        <v>0</v>
      </c>
      <c r="M82" s="5">
        <f t="shared" si="4"/>
        <v>0</v>
      </c>
      <c r="N82" s="5">
        <f t="shared" si="1"/>
        <v>17634.439999999999</v>
      </c>
      <c r="O82" s="60">
        <f>INDEX('Revised 2020 Lockdown'!G$5:G$254,MATCH(B82,'Revised 2020 Lockdown'!B$5:B$254,0))</f>
        <v>17634.439999999999</v>
      </c>
      <c r="P82" s="5">
        <f t="shared" si="5"/>
        <v>0</v>
      </c>
      <c r="Q82" s="58">
        <f t="shared" si="6"/>
        <v>890.40416304519249</v>
      </c>
      <c r="R82" s="96">
        <f t="shared" si="7"/>
        <v>8489.0835866858961</v>
      </c>
      <c r="T82" s="96">
        <v>8503.577554216472</v>
      </c>
      <c r="U82" s="5">
        <f t="shared" si="8"/>
        <v>-14.493967530575901</v>
      </c>
    </row>
    <row r="83" spans="2:21" x14ac:dyDescent="0.35">
      <c r="B83">
        <v>620</v>
      </c>
      <c r="C83" s="17">
        <v>6</v>
      </c>
      <c r="D83" s="22" t="s">
        <v>93</v>
      </c>
      <c r="E83" s="90">
        <v>210.58980770377843</v>
      </c>
      <c r="F83" s="90">
        <f>INDEX('Revised 2020 Lockdown'!H$5:H$254,MATCH(B83,'Revised 2020 Lockdown'!B$5:B$254,0))</f>
        <v>210.58980770377843</v>
      </c>
      <c r="G83" s="90">
        <f t="shared" si="2"/>
        <v>0</v>
      </c>
      <c r="H83" s="5">
        <v>127287.86</v>
      </c>
      <c r="I83" s="5">
        <f>INDEX('Revised 2020 Lockdown'!E$5:E$254,MATCH(B83,'Revised 2020 Lockdown'!B$5:B$254,0))</f>
        <v>127287.86</v>
      </c>
      <c r="J83" s="5">
        <f t="shared" si="3"/>
        <v>0</v>
      </c>
      <c r="K83" s="5">
        <v>0</v>
      </c>
      <c r="L83" s="5">
        <f>INDEX('Revised 2020 Lockdown'!F$5:F$254,MATCH(B83,'Revised 2020 Lockdown'!B$5:B$254,0))</f>
        <v>0</v>
      </c>
      <c r="M83" s="5">
        <f t="shared" si="4"/>
        <v>0</v>
      </c>
      <c r="N83" s="5">
        <f t="shared" si="1"/>
        <v>127287.86</v>
      </c>
      <c r="O83" s="60">
        <f>INDEX('Revised 2020 Lockdown'!G$5:G$254,MATCH(B83,'Revised 2020 Lockdown'!B$5:B$254,0))</f>
        <v>127287.86</v>
      </c>
      <c r="P83" s="5">
        <f t="shared" si="5"/>
        <v>0</v>
      </c>
      <c r="Q83" s="58">
        <f t="shared" si="6"/>
        <v>604.43504549397142</v>
      </c>
      <c r="R83" s="96">
        <f t="shared" si="7"/>
        <v>61275.395368969606</v>
      </c>
      <c r="T83" s="96">
        <v>61380.014858438866</v>
      </c>
      <c r="U83" s="5">
        <f t="shared" si="8"/>
        <v>-104.61948946925986</v>
      </c>
    </row>
    <row r="84" spans="2:21" x14ac:dyDescent="0.35">
      <c r="B84">
        <v>622</v>
      </c>
      <c r="C84" s="17">
        <v>6</v>
      </c>
      <c r="D84" s="22" t="s">
        <v>94</v>
      </c>
      <c r="E84" s="90">
        <v>107.7325071639393</v>
      </c>
      <c r="F84" s="90">
        <f>INDEX('Revised 2020 Lockdown'!H$5:H$254,MATCH(B84,'Revised 2020 Lockdown'!B$5:B$254,0))</f>
        <v>107.7325071639393</v>
      </c>
      <c r="G84" s="90">
        <f t="shared" si="2"/>
        <v>0</v>
      </c>
      <c r="H84" s="5">
        <v>106405.48</v>
      </c>
      <c r="I84" s="5">
        <f>INDEX('Revised 2020 Lockdown'!E$5:E$254,MATCH(B84,'Revised 2020 Lockdown'!B$5:B$254,0))</f>
        <v>106405.48</v>
      </c>
      <c r="J84" s="5">
        <f t="shared" si="3"/>
        <v>0</v>
      </c>
      <c r="K84" s="5">
        <v>192</v>
      </c>
      <c r="L84" s="5">
        <f>INDEX('Revised 2020 Lockdown'!F$5:F$254,MATCH(B84,'Revised 2020 Lockdown'!B$5:B$254,0))</f>
        <v>192</v>
      </c>
      <c r="M84" s="5">
        <f t="shared" si="4"/>
        <v>0</v>
      </c>
      <c r="N84" s="5">
        <f t="shared" ref="N84:N147" si="9">H84-K84</f>
        <v>106213.48</v>
      </c>
      <c r="O84" s="60">
        <f>INDEX('Revised 2020 Lockdown'!G$5:G$254,MATCH(B84,'Revised 2020 Lockdown'!B$5:B$254,0))</f>
        <v>106213.48</v>
      </c>
      <c r="P84" s="5">
        <f t="shared" si="5"/>
        <v>0</v>
      </c>
      <c r="Q84" s="58">
        <f t="shared" si="6"/>
        <v>985.90001101870052</v>
      </c>
      <c r="R84" s="96">
        <f t="shared" si="7"/>
        <v>51130.351162429361</v>
      </c>
      <c r="T84" s="96">
        <v>51217.649354514244</v>
      </c>
      <c r="U84" s="5">
        <f t="shared" si="8"/>
        <v>-87.29819208488334</v>
      </c>
    </row>
    <row r="85" spans="2:21" x14ac:dyDescent="0.35">
      <c r="B85">
        <v>623</v>
      </c>
      <c r="C85" s="17">
        <v>6</v>
      </c>
      <c r="D85" s="22" t="s">
        <v>95</v>
      </c>
      <c r="E85" s="90">
        <v>250.8949918794944</v>
      </c>
      <c r="F85" s="90">
        <f>INDEX('Revised 2020 Lockdown'!H$5:H$254,MATCH(B85,'Revised 2020 Lockdown'!B$5:B$254,0))</f>
        <v>250.8949918794944</v>
      </c>
      <c r="G85" s="90">
        <f t="shared" ref="G85:G148" si="10">F85-E85</f>
        <v>0</v>
      </c>
      <c r="H85" s="5">
        <v>81786.11</v>
      </c>
      <c r="I85" s="5">
        <f>INDEX('Revised 2020 Lockdown'!E$5:E$254,MATCH(B85,'Revised 2020 Lockdown'!B$5:B$254,0))</f>
        <v>81786.11</v>
      </c>
      <c r="J85" s="5">
        <f t="shared" ref="J85:J148" si="11">I85-H85</f>
        <v>0</v>
      </c>
      <c r="K85" s="5">
        <v>0</v>
      </c>
      <c r="L85" s="5">
        <f>INDEX('Revised 2020 Lockdown'!F$5:F$254,MATCH(B85,'Revised 2020 Lockdown'!B$5:B$254,0))</f>
        <v>0</v>
      </c>
      <c r="M85" s="5">
        <f t="shared" ref="M85:M148" si="12">L85-K85</f>
        <v>0</v>
      </c>
      <c r="N85" s="5">
        <f t="shared" si="9"/>
        <v>81786.11</v>
      </c>
      <c r="O85" s="60">
        <f>INDEX('Revised 2020 Lockdown'!G$5:G$254,MATCH(B85,'Revised 2020 Lockdown'!B$5:B$254,0))</f>
        <v>81786.11</v>
      </c>
      <c r="P85" s="5">
        <f t="shared" ref="P85:P148" si="13">O85-N85</f>
        <v>0</v>
      </c>
      <c r="Q85" s="58">
        <f t="shared" ref="Q85:Q148" si="14">IFERROR(O85/F85,"n.a.")</f>
        <v>325.97745131270739</v>
      </c>
      <c r="R85" s="96">
        <f t="shared" ref="R85:R148" si="15">O85*(E$12/O$18)</f>
        <v>39371.203396302197</v>
      </c>
      <c r="T85" s="96">
        <v>39438.424426445032</v>
      </c>
      <c r="U85" s="5">
        <f t="shared" ref="U85:U148" si="16">R85-T85</f>
        <v>-67.221030142834934</v>
      </c>
    </row>
    <row r="86" spans="2:21" x14ac:dyDescent="0.35">
      <c r="B86">
        <v>626</v>
      </c>
      <c r="C86" s="17">
        <v>6</v>
      </c>
      <c r="D86" s="22" t="s">
        <v>96</v>
      </c>
      <c r="E86" s="90">
        <v>23.941522726196077</v>
      </c>
      <c r="F86" s="90">
        <f>INDEX('Revised 2020 Lockdown'!H$5:H$254,MATCH(B86,'Revised 2020 Lockdown'!B$5:B$254,0))</f>
        <v>23.941522726196077</v>
      </c>
      <c r="G86" s="90">
        <f t="shared" si="10"/>
        <v>0</v>
      </c>
      <c r="H86" s="5">
        <v>18629.490000000002</v>
      </c>
      <c r="I86" s="5">
        <f>INDEX('Revised 2020 Lockdown'!E$5:E$254,MATCH(B86,'Revised 2020 Lockdown'!B$5:B$254,0))</f>
        <v>18629.490000000002</v>
      </c>
      <c r="J86" s="5">
        <f t="shared" si="11"/>
        <v>0</v>
      </c>
      <c r="K86" s="5">
        <v>0</v>
      </c>
      <c r="L86" s="5">
        <f>INDEX('Revised 2020 Lockdown'!F$5:F$254,MATCH(B86,'Revised 2020 Lockdown'!B$5:B$254,0))</f>
        <v>0</v>
      </c>
      <c r="M86" s="5">
        <f t="shared" si="12"/>
        <v>0</v>
      </c>
      <c r="N86" s="5">
        <f t="shared" si="9"/>
        <v>18629.490000000002</v>
      </c>
      <c r="O86" s="60">
        <f>INDEX('Revised 2020 Lockdown'!G$5:G$254,MATCH(B86,'Revised 2020 Lockdown'!B$5:B$254,0))</f>
        <v>18629.490000000002</v>
      </c>
      <c r="P86" s="5">
        <f t="shared" si="13"/>
        <v>0</v>
      </c>
      <c r="Q86" s="58">
        <f t="shared" si="14"/>
        <v>778.12469211142479</v>
      </c>
      <c r="R86" s="96">
        <f t="shared" si="15"/>
        <v>8968.0929923110161</v>
      </c>
      <c r="T86" s="96">
        <v>8983.4048039234713</v>
      </c>
      <c r="U86" s="5">
        <f t="shared" si="16"/>
        <v>-15.311811612455131</v>
      </c>
    </row>
    <row r="87" spans="2:21" x14ac:dyDescent="0.35">
      <c r="B87">
        <v>627</v>
      </c>
      <c r="C87" s="17">
        <v>6</v>
      </c>
      <c r="D87" s="22" t="s">
        <v>97</v>
      </c>
      <c r="E87" s="90">
        <v>160.83836755587552</v>
      </c>
      <c r="F87" s="90">
        <f>INDEX('Revised 2020 Lockdown'!H$5:H$254,MATCH(B87,'Revised 2020 Lockdown'!B$5:B$254,0))</f>
        <v>160.83836755587552</v>
      </c>
      <c r="G87" s="90">
        <f t="shared" si="10"/>
        <v>0</v>
      </c>
      <c r="H87" s="5">
        <v>77264.61</v>
      </c>
      <c r="I87" s="5">
        <f>INDEX('Revised 2020 Lockdown'!E$5:E$254,MATCH(B87,'Revised 2020 Lockdown'!B$5:B$254,0))</f>
        <v>77264.61</v>
      </c>
      <c r="J87" s="5">
        <f t="shared" si="11"/>
        <v>0</v>
      </c>
      <c r="K87" s="5">
        <v>0</v>
      </c>
      <c r="L87" s="5">
        <f>INDEX('Revised 2020 Lockdown'!F$5:F$254,MATCH(B87,'Revised 2020 Lockdown'!B$5:B$254,0))</f>
        <v>0</v>
      </c>
      <c r="M87" s="5">
        <f t="shared" si="12"/>
        <v>0</v>
      </c>
      <c r="N87" s="5">
        <f t="shared" si="9"/>
        <v>77264.61</v>
      </c>
      <c r="O87" s="60">
        <f>INDEX('Revised 2020 Lockdown'!G$5:G$254,MATCH(B87,'Revised 2020 Lockdown'!B$5:B$254,0))</f>
        <v>77264.61</v>
      </c>
      <c r="P87" s="5">
        <f t="shared" si="13"/>
        <v>0</v>
      </c>
      <c r="Q87" s="58">
        <f t="shared" si="14"/>
        <v>480.38668368825705</v>
      </c>
      <c r="R87" s="96">
        <f t="shared" si="15"/>
        <v>37194.588123166206</v>
      </c>
      <c r="T87" s="96">
        <v>37258.092875718736</v>
      </c>
      <c r="U87" s="5">
        <f t="shared" si="16"/>
        <v>-63.504752552529681</v>
      </c>
    </row>
    <row r="88" spans="2:21" x14ac:dyDescent="0.35">
      <c r="B88">
        <v>634</v>
      </c>
      <c r="C88" s="17">
        <v>6</v>
      </c>
      <c r="D88" s="22" t="s">
        <v>98</v>
      </c>
      <c r="E88" s="90">
        <v>740.65427567911945</v>
      </c>
      <c r="F88" s="90">
        <f>INDEX('Revised 2020 Lockdown'!H$5:H$254,MATCH(B88,'Revised 2020 Lockdown'!B$5:B$254,0))</f>
        <v>739.57838656376748</v>
      </c>
      <c r="G88" s="90">
        <f t="shared" si="10"/>
        <v>-1.0758891153519698</v>
      </c>
      <c r="H88" s="5">
        <v>642243.07999999996</v>
      </c>
      <c r="I88" s="5">
        <f>INDEX('Revised 2020 Lockdown'!E$5:E$254,MATCH(B88,'Revised 2020 Lockdown'!B$5:B$254,0))</f>
        <v>644745.41</v>
      </c>
      <c r="J88" s="5">
        <f t="shared" si="11"/>
        <v>2502.3300000000745</v>
      </c>
      <c r="K88" s="5">
        <v>0</v>
      </c>
      <c r="L88" s="5">
        <f>INDEX('Revised 2020 Lockdown'!F$5:F$254,MATCH(B88,'Revised 2020 Lockdown'!B$5:B$254,0))</f>
        <v>0</v>
      </c>
      <c r="M88" s="5">
        <f t="shared" si="12"/>
        <v>0</v>
      </c>
      <c r="N88" s="5">
        <f t="shared" si="9"/>
        <v>642243.07999999996</v>
      </c>
      <c r="O88" s="60">
        <f>INDEX('Revised 2020 Lockdown'!G$5:G$254,MATCH(B88,'Revised 2020 Lockdown'!B$5:B$254,0))</f>
        <v>644745.41</v>
      </c>
      <c r="P88" s="5">
        <f t="shared" si="13"/>
        <v>2502.3300000000745</v>
      </c>
      <c r="Q88" s="58">
        <f t="shared" si="14"/>
        <v>871.77427263067966</v>
      </c>
      <c r="R88" s="96">
        <f t="shared" si="15"/>
        <v>310375.47422101692</v>
      </c>
      <c r="T88" s="96">
        <v>309698.73948017933</v>
      </c>
      <c r="U88" s="5">
        <f t="shared" si="16"/>
        <v>676.73474083759356</v>
      </c>
    </row>
    <row r="89" spans="2:21" x14ac:dyDescent="0.35">
      <c r="B89">
        <v>636</v>
      </c>
      <c r="C89" s="17">
        <v>6</v>
      </c>
      <c r="D89" s="22" t="s">
        <v>99</v>
      </c>
      <c r="E89" s="90">
        <v>52.010894198288028</v>
      </c>
      <c r="F89" s="90">
        <f>INDEX('Revised 2020 Lockdown'!H$5:H$254,MATCH(B89,'Revised 2020 Lockdown'!B$5:B$254,0))</f>
        <v>52.010894198288028</v>
      </c>
      <c r="G89" s="90">
        <f t="shared" si="10"/>
        <v>0</v>
      </c>
      <c r="H89" s="5">
        <v>81915.839999999997</v>
      </c>
      <c r="I89" s="5">
        <f>INDEX('Revised 2020 Lockdown'!E$5:E$254,MATCH(B89,'Revised 2020 Lockdown'!B$5:B$254,0))</f>
        <v>81915.839999999997</v>
      </c>
      <c r="J89" s="5">
        <f t="shared" si="11"/>
        <v>0</v>
      </c>
      <c r="K89" s="5">
        <v>76680</v>
      </c>
      <c r="L89" s="5">
        <f>INDEX('Revised 2020 Lockdown'!F$5:F$254,MATCH(B89,'Revised 2020 Lockdown'!B$5:B$254,0))</f>
        <v>76680</v>
      </c>
      <c r="M89" s="5">
        <f t="shared" si="12"/>
        <v>0</v>
      </c>
      <c r="N89" s="5">
        <f t="shared" si="9"/>
        <v>5235.8399999999965</v>
      </c>
      <c r="O89" s="60">
        <f>INDEX('Revised 2020 Lockdown'!G$5:G$254,MATCH(B89,'Revised 2020 Lockdown'!B$5:B$254,0))</f>
        <v>5235.8399999999965</v>
      </c>
      <c r="P89" s="5">
        <f t="shared" si="13"/>
        <v>0</v>
      </c>
      <c r="Q89" s="58">
        <f t="shared" si="14"/>
        <v>100.66814040994392</v>
      </c>
      <c r="R89" s="96">
        <f t="shared" si="15"/>
        <v>2520.4930469305209</v>
      </c>
      <c r="T89" s="96">
        <v>2524.7964495310734</v>
      </c>
      <c r="U89" s="5">
        <f t="shared" si="16"/>
        <v>-4.3034026005525448</v>
      </c>
    </row>
    <row r="90" spans="2:21" x14ac:dyDescent="0.35">
      <c r="B90">
        <v>641</v>
      </c>
      <c r="C90" s="17">
        <v>6</v>
      </c>
      <c r="D90" s="22" t="s">
        <v>100</v>
      </c>
      <c r="E90" s="90">
        <v>8.0818933340698198</v>
      </c>
      <c r="F90" s="90">
        <f>INDEX('Revised 2020 Lockdown'!H$5:H$254,MATCH(B90,'Revised 2020 Lockdown'!B$5:B$254,0))</f>
        <v>8.0818933340698198</v>
      </c>
      <c r="G90" s="90">
        <f t="shared" si="10"/>
        <v>0</v>
      </c>
      <c r="H90" s="5">
        <v>34364.78</v>
      </c>
      <c r="I90" s="5">
        <f>INDEX('Revised 2020 Lockdown'!E$5:E$254,MATCH(B90,'Revised 2020 Lockdown'!B$5:B$254,0))</f>
        <v>34364.78</v>
      </c>
      <c r="J90" s="5">
        <f t="shared" si="11"/>
        <v>0</v>
      </c>
      <c r="K90" s="5">
        <v>0</v>
      </c>
      <c r="L90" s="5">
        <f>INDEX('Revised 2020 Lockdown'!F$5:F$254,MATCH(B90,'Revised 2020 Lockdown'!B$5:B$254,0))</f>
        <v>0</v>
      </c>
      <c r="M90" s="5">
        <f t="shared" si="12"/>
        <v>0</v>
      </c>
      <c r="N90" s="5">
        <f t="shared" si="9"/>
        <v>34364.78</v>
      </c>
      <c r="O90" s="60">
        <f>INDEX('Revised 2020 Lockdown'!G$5:G$254,MATCH(B90,'Revised 2020 Lockdown'!B$5:B$254,0))</f>
        <v>34364.78</v>
      </c>
      <c r="P90" s="5">
        <f t="shared" si="13"/>
        <v>0</v>
      </c>
      <c r="Q90" s="58">
        <f t="shared" si="14"/>
        <v>4252.0704715481361</v>
      </c>
      <c r="R90" s="96">
        <f t="shared" si="15"/>
        <v>16542.940397204096</v>
      </c>
      <c r="T90" s="96">
        <v>16571.185241129693</v>
      </c>
      <c r="U90" s="5">
        <f t="shared" si="16"/>
        <v>-28.244843925596797</v>
      </c>
    </row>
    <row r="91" spans="2:21" x14ac:dyDescent="0.35">
      <c r="B91">
        <v>644</v>
      </c>
      <c r="C91" s="17">
        <v>6</v>
      </c>
      <c r="D91" s="22" t="s">
        <v>101</v>
      </c>
      <c r="E91" s="90">
        <v>4.7100926742643461</v>
      </c>
      <c r="F91" s="90">
        <f>INDEX('Revised 2020 Lockdown'!H$5:H$254,MATCH(B91,'Revised 2020 Lockdown'!B$5:B$254,0))</f>
        <v>4.7100926742643461</v>
      </c>
      <c r="G91" s="90">
        <f t="shared" si="10"/>
        <v>0</v>
      </c>
      <c r="H91" s="5">
        <v>44753.64</v>
      </c>
      <c r="I91" s="5">
        <f>INDEX('Revised 2020 Lockdown'!E$5:E$254,MATCH(B91,'Revised 2020 Lockdown'!B$5:B$254,0))</f>
        <v>44753.64</v>
      </c>
      <c r="J91" s="5">
        <f t="shared" si="11"/>
        <v>0</v>
      </c>
      <c r="K91" s="5">
        <v>0</v>
      </c>
      <c r="L91" s="5">
        <f>INDEX('Revised 2020 Lockdown'!F$5:F$254,MATCH(B91,'Revised 2020 Lockdown'!B$5:B$254,0))</f>
        <v>0</v>
      </c>
      <c r="M91" s="5">
        <f t="shared" si="12"/>
        <v>0</v>
      </c>
      <c r="N91" s="5">
        <f t="shared" si="9"/>
        <v>44753.64</v>
      </c>
      <c r="O91" s="60">
        <f>INDEX('Revised 2020 Lockdown'!G$5:G$254,MATCH(B91,'Revised 2020 Lockdown'!B$5:B$254,0))</f>
        <v>44753.64</v>
      </c>
      <c r="P91" s="5">
        <f t="shared" si="13"/>
        <v>0</v>
      </c>
      <c r="Q91" s="58">
        <f t="shared" si="14"/>
        <v>9501.6474398754635</v>
      </c>
      <c r="R91" s="96">
        <f t="shared" si="15"/>
        <v>21544.057580986377</v>
      </c>
      <c r="T91" s="96">
        <v>21580.841159315773</v>
      </c>
      <c r="U91" s="5">
        <f t="shared" si="16"/>
        <v>-36.783578329395823</v>
      </c>
    </row>
    <row r="92" spans="2:21" x14ac:dyDescent="0.35">
      <c r="B92">
        <v>694</v>
      </c>
      <c r="C92" s="17">
        <v>6</v>
      </c>
      <c r="D92" s="22" t="s">
        <v>103</v>
      </c>
      <c r="E92" s="90">
        <v>19.03</v>
      </c>
      <c r="F92" s="90">
        <f>INDEX('Revised 2020 Lockdown'!H$5:H$254,MATCH(B92,'Revised 2020 Lockdown'!B$5:B$254,0))</f>
        <v>19.03</v>
      </c>
      <c r="G92" s="90">
        <f t="shared" si="10"/>
        <v>0</v>
      </c>
      <c r="H92" s="5">
        <v>45782.7</v>
      </c>
      <c r="I92" s="5">
        <f>INDEX('Revised 2020 Lockdown'!E$5:E$254,MATCH(B92,'Revised 2020 Lockdown'!B$5:B$254,0))</f>
        <v>45782.7</v>
      </c>
      <c r="J92" s="5">
        <f t="shared" si="11"/>
        <v>0</v>
      </c>
      <c r="K92" s="5">
        <v>0</v>
      </c>
      <c r="L92" s="5">
        <f>INDEX('Revised 2020 Lockdown'!F$5:F$254,MATCH(B92,'Revised 2020 Lockdown'!B$5:B$254,0))</f>
        <v>0</v>
      </c>
      <c r="M92" s="5">
        <f t="shared" si="12"/>
        <v>0</v>
      </c>
      <c r="N92" s="5">
        <f t="shared" si="9"/>
        <v>45782.7</v>
      </c>
      <c r="O92" s="60">
        <f>INDEX('Revised 2020 Lockdown'!G$5:G$254,MATCH(B92,'Revised 2020 Lockdown'!B$5:B$254,0))</f>
        <v>45782.7</v>
      </c>
      <c r="P92" s="5">
        <f t="shared" si="13"/>
        <v>0</v>
      </c>
      <c r="Q92" s="58">
        <f t="shared" si="14"/>
        <v>2405.8171308460323</v>
      </c>
      <c r="R92" s="96">
        <f t="shared" si="15"/>
        <v>22039.439138649392</v>
      </c>
      <c r="T92" s="96">
        <v>22077.068514306462</v>
      </c>
      <c r="U92" s="5">
        <f t="shared" si="16"/>
        <v>-37.629375657070341</v>
      </c>
    </row>
    <row r="93" spans="2:21" x14ac:dyDescent="0.35">
      <c r="B93">
        <v>706</v>
      </c>
      <c r="C93" s="17">
        <v>6</v>
      </c>
      <c r="D93" s="22" t="s">
        <v>104</v>
      </c>
      <c r="E93" s="90">
        <v>50.910157288145029</v>
      </c>
      <c r="F93" s="90">
        <f>INDEX('Revised 2020 Lockdown'!H$5:H$254,MATCH(B93,'Revised 2020 Lockdown'!B$5:B$254,0))</f>
        <v>50.910157288145029</v>
      </c>
      <c r="G93" s="90">
        <f t="shared" si="10"/>
        <v>0</v>
      </c>
      <c r="H93" s="5">
        <v>63054.879999999997</v>
      </c>
      <c r="I93" s="5">
        <f>INDEX('Revised 2020 Lockdown'!E$5:E$254,MATCH(B93,'Revised 2020 Lockdown'!B$5:B$254,0))</f>
        <v>63054.879999999997</v>
      </c>
      <c r="J93" s="5">
        <f t="shared" si="11"/>
        <v>0</v>
      </c>
      <c r="K93" s="5">
        <v>0</v>
      </c>
      <c r="L93" s="5">
        <f>INDEX('Revised 2020 Lockdown'!F$5:F$254,MATCH(B93,'Revised 2020 Lockdown'!B$5:B$254,0))</f>
        <v>0</v>
      </c>
      <c r="M93" s="5">
        <f t="shared" si="12"/>
        <v>0</v>
      </c>
      <c r="N93" s="5">
        <f t="shared" si="9"/>
        <v>63054.879999999997</v>
      </c>
      <c r="O93" s="60">
        <f>INDEX('Revised 2020 Lockdown'!G$5:G$254,MATCH(B93,'Revised 2020 Lockdown'!B$5:B$254,0))</f>
        <v>63054.879999999997</v>
      </c>
      <c r="P93" s="5">
        <f t="shared" si="13"/>
        <v>0</v>
      </c>
      <c r="Q93" s="58">
        <f t="shared" si="14"/>
        <v>1238.5520563827249</v>
      </c>
      <c r="R93" s="96">
        <f t="shared" si="15"/>
        <v>30354.133551643761</v>
      </c>
      <c r="T93" s="96">
        <v>30405.959148791404</v>
      </c>
      <c r="U93" s="5">
        <f t="shared" si="16"/>
        <v>-51.825597147642839</v>
      </c>
    </row>
    <row r="94" spans="2:21" x14ac:dyDescent="0.35">
      <c r="B94">
        <v>710</v>
      </c>
      <c r="C94" s="17">
        <v>6</v>
      </c>
      <c r="D94" s="22" t="s">
        <v>105</v>
      </c>
      <c r="E94" s="90">
        <v>72.740000000000009</v>
      </c>
      <c r="F94" s="90">
        <f>INDEX('Revised 2020 Lockdown'!H$5:H$254,MATCH(B94,'Revised 2020 Lockdown'!B$5:B$254,0))</f>
        <v>72.740000000000009</v>
      </c>
      <c r="G94" s="90">
        <f t="shared" si="10"/>
        <v>0</v>
      </c>
      <c r="H94" s="5">
        <v>75931.14</v>
      </c>
      <c r="I94" s="5">
        <f>INDEX('Revised 2020 Lockdown'!E$5:E$254,MATCH(B94,'Revised 2020 Lockdown'!B$5:B$254,0))</f>
        <v>75931.14</v>
      </c>
      <c r="J94" s="5">
        <f t="shared" si="11"/>
        <v>0</v>
      </c>
      <c r="K94" s="5">
        <v>0</v>
      </c>
      <c r="L94" s="5">
        <f>INDEX('Revised 2020 Lockdown'!F$5:F$254,MATCH(B94,'Revised 2020 Lockdown'!B$5:B$254,0))</f>
        <v>0</v>
      </c>
      <c r="M94" s="5">
        <f t="shared" si="12"/>
        <v>0</v>
      </c>
      <c r="N94" s="5">
        <f t="shared" si="9"/>
        <v>75931.14</v>
      </c>
      <c r="O94" s="60">
        <f>INDEX('Revised 2020 Lockdown'!G$5:G$254,MATCH(B94,'Revised 2020 Lockdown'!B$5:B$254,0))</f>
        <v>75931.14</v>
      </c>
      <c r="P94" s="5">
        <f t="shared" si="13"/>
        <v>0</v>
      </c>
      <c r="Q94" s="58">
        <f t="shared" si="14"/>
        <v>1043.8704976629087</v>
      </c>
      <c r="R94" s="96">
        <f t="shared" si="15"/>
        <v>36552.665936221907</v>
      </c>
      <c r="T94" s="96">
        <v>36615.074693047725</v>
      </c>
      <c r="U94" s="5">
        <f t="shared" si="16"/>
        <v>-62.408756825818273</v>
      </c>
    </row>
    <row r="95" spans="2:21" x14ac:dyDescent="0.35">
      <c r="B95">
        <v>747</v>
      </c>
      <c r="C95" s="17">
        <v>6</v>
      </c>
      <c r="D95" s="22" t="s">
        <v>106</v>
      </c>
      <c r="E95" s="90">
        <v>38</v>
      </c>
      <c r="F95" s="90">
        <f>INDEX('Revised 2020 Lockdown'!H$5:H$254,MATCH(B95,'Revised 2020 Lockdown'!B$5:B$254,0))</f>
        <v>38</v>
      </c>
      <c r="G95" s="90">
        <f t="shared" si="10"/>
        <v>0</v>
      </c>
      <c r="H95" s="5">
        <v>45706.95</v>
      </c>
      <c r="I95" s="5">
        <f>INDEX('Revised 2020 Lockdown'!E$5:E$254,MATCH(B95,'Revised 2020 Lockdown'!B$5:B$254,0))</f>
        <v>45706.95</v>
      </c>
      <c r="J95" s="5">
        <f t="shared" si="11"/>
        <v>0</v>
      </c>
      <c r="K95" s="5">
        <v>0</v>
      </c>
      <c r="L95" s="5">
        <f>INDEX('Revised 2020 Lockdown'!F$5:F$254,MATCH(B95,'Revised 2020 Lockdown'!B$5:B$254,0))</f>
        <v>0</v>
      </c>
      <c r="M95" s="5">
        <f t="shared" si="12"/>
        <v>0</v>
      </c>
      <c r="N95" s="5">
        <f t="shared" si="9"/>
        <v>45706.95</v>
      </c>
      <c r="O95" s="60">
        <f>INDEX('Revised 2020 Lockdown'!G$5:G$254,MATCH(B95,'Revised 2020 Lockdown'!B$5:B$254,0))</f>
        <v>45706.95</v>
      </c>
      <c r="P95" s="5">
        <f t="shared" si="13"/>
        <v>0</v>
      </c>
      <c r="Q95" s="58">
        <f t="shared" si="14"/>
        <v>1202.8144736842105</v>
      </c>
      <c r="R95" s="96">
        <f t="shared" si="15"/>
        <v>22002.973672113938</v>
      </c>
      <c r="T95" s="96">
        <v>22040.540787895421</v>
      </c>
      <c r="U95" s="5">
        <f t="shared" si="16"/>
        <v>-37.567115781483153</v>
      </c>
    </row>
    <row r="96" spans="2:21" x14ac:dyDescent="0.35">
      <c r="B96">
        <v>758</v>
      </c>
      <c r="C96" s="17">
        <v>6</v>
      </c>
      <c r="D96" s="22" t="s">
        <v>107</v>
      </c>
      <c r="E96" s="90">
        <v>310.97010643301292</v>
      </c>
      <c r="F96" s="90">
        <f>INDEX('Revised 2020 Lockdown'!H$5:H$254,MATCH(B96,'Revised 2020 Lockdown'!B$5:B$254,0))</f>
        <v>310.97010643301292</v>
      </c>
      <c r="G96" s="90">
        <f t="shared" si="10"/>
        <v>0</v>
      </c>
      <c r="H96" s="5">
        <v>346195.68</v>
      </c>
      <c r="I96" s="5">
        <f>INDEX('Revised 2020 Lockdown'!E$5:E$254,MATCH(B96,'Revised 2020 Lockdown'!B$5:B$254,0))</f>
        <v>346195.68</v>
      </c>
      <c r="J96" s="5">
        <f t="shared" si="11"/>
        <v>0</v>
      </c>
      <c r="K96" s="5">
        <v>10.15</v>
      </c>
      <c r="L96" s="5">
        <f>INDEX('Revised 2020 Lockdown'!F$5:F$254,MATCH(B96,'Revised 2020 Lockdown'!B$5:B$254,0))</f>
        <v>10.15</v>
      </c>
      <c r="M96" s="5">
        <f t="shared" si="12"/>
        <v>0</v>
      </c>
      <c r="N96" s="5">
        <f t="shared" si="9"/>
        <v>346185.52999999997</v>
      </c>
      <c r="O96" s="60">
        <f>INDEX('Revised 2020 Lockdown'!G$5:G$254,MATCH(B96,'Revised 2020 Lockdown'!B$5:B$254,0))</f>
        <v>346185.52999999997</v>
      </c>
      <c r="P96" s="5">
        <f t="shared" si="13"/>
        <v>0</v>
      </c>
      <c r="Q96" s="58">
        <f t="shared" si="14"/>
        <v>1113.2437582857274</v>
      </c>
      <c r="R96" s="96">
        <f t="shared" si="15"/>
        <v>166651.04764716985</v>
      </c>
      <c r="T96" s="96">
        <v>166935.58187855882</v>
      </c>
      <c r="U96" s="5">
        <f t="shared" si="16"/>
        <v>-284.53423138897051</v>
      </c>
    </row>
    <row r="97" spans="2:21" x14ac:dyDescent="0.35">
      <c r="B97">
        <v>765</v>
      </c>
      <c r="C97" s="17">
        <v>6</v>
      </c>
      <c r="D97" s="22" t="s">
        <v>108</v>
      </c>
      <c r="E97" s="90">
        <v>114.5</v>
      </c>
      <c r="F97" s="90">
        <f>INDEX('Revised 2020 Lockdown'!H$5:H$254,MATCH(B97,'Revised 2020 Lockdown'!B$5:B$254,0))</f>
        <v>114.5</v>
      </c>
      <c r="G97" s="90">
        <f t="shared" si="10"/>
        <v>0</v>
      </c>
      <c r="H97" s="5">
        <v>93738.78</v>
      </c>
      <c r="I97" s="5">
        <f>INDEX('Revised 2020 Lockdown'!E$5:E$254,MATCH(B97,'Revised 2020 Lockdown'!B$5:B$254,0))</f>
        <v>93738.78</v>
      </c>
      <c r="J97" s="5">
        <f t="shared" si="11"/>
        <v>0</v>
      </c>
      <c r="K97" s="5">
        <v>0</v>
      </c>
      <c r="L97" s="5">
        <f>INDEX('Revised 2020 Lockdown'!F$5:F$254,MATCH(B97,'Revised 2020 Lockdown'!B$5:B$254,0))</f>
        <v>0</v>
      </c>
      <c r="M97" s="5">
        <f t="shared" si="12"/>
        <v>0</v>
      </c>
      <c r="N97" s="5">
        <f t="shared" si="9"/>
        <v>93738.78</v>
      </c>
      <c r="O97" s="60">
        <f>INDEX('Revised 2020 Lockdown'!G$5:G$254,MATCH(B97,'Revised 2020 Lockdown'!B$5:B$254,0))</f>
        <v>93738.78</v>
      </c>
      <c r="P97" s="5">
        <f t="shared" si="13"/>
        <v>0</v>
      </c>
      <c r="Q97" s="58">
        <f t="shared" si="14"/>
        <v>818.67930131004368</v>
      </c>
      <c r="R97" s="96">
        <f t="shared" si="15"/>
        <v>45125.126668834404</v>
      </c>
      <c r="T97" s="96">
        <v>45202.171748444292</v>
      </c>
      <c r="U97" s="5">
        <f t="shared" si="16"/>
        <v>-77.045079609888489</v>
      </c>
    </row>
    <row r="98" spans="2:21" x14ac:dyDescent="0.35">
      <c r="B98">
        <v>770</v>
      </c>
      <c r="C98" s="17">
        <v>6</v>
      </c>
      <c r="D98" s="22" t="s">
        <v>109</v>
      </c>
      <c r="E98" s="90">
        <v>42.24</v>
      </c>
      <c r="F98" s="90">
        <f>INDEX('Revised 2020 Lockdown'!H$5:H$254,MATCH(B98,'Revised 2020 Lockdown'!B$5:B$254,0))</f>
        <v>42.24</v>
      </c>
      <c r="G98" s="90">
        <f t="shared" si="10"/>
        <v>0</v>
      </c>
      <c r="H98" s="5">
        <v>26544.54</v>
      </c>
      <c r="I98" s="5">
        <f>INDEX('Revised 2020 Lockdown'!E$5:E$254,MATCH(B98,'Revised 2020 Lockdown'!B$5:B$254,0))</f>
        <v>26544.54</v>
      </c>
      <c r="J98" s="5">
        <f t="shared" si="11"/>
        <v>0</v>
      </c>
      <c r="K98" s="5">
        <v>0</v>
      </c>
      <c r="L98" s="5">
        <f>INDEX('Revised 2020 Lockdown'!F$5:F$254,MATCH(B98,'Revised 2020 Lockdown'!B$5:B$254,0))</f>
        <v>0</v>
      </c>
      <c r="M98" s="5">
        <f t="shared" si="12"/>
        <v>0</v>
      </c>
      <c r="N98" s="5">
        <f t="shared" si="9"/>
        <v>26544.54</v>
      </c>
      <c r="O98" s="60">
        <f>INDEX('Revised 2020 Lockdown'!G$5:G$254,MATCH(B98,'Revised 2020 Lockdown'!B$5:B$254,0))</f>
        <v>26544.54</v>
      </c>
      <c r="P98" s="5">
        <f t="shared" si="13"/>
        <v>0</v>
      </c>
      <c r="Q98" s="58">
        <f t="shared" si="14"/>
        <v>628.421875</v>
      </c>
      <c r="R98" s="96">
        <f t="shared" si="15"/>
        <v>12778.337096620435</v>
      </c>
      <c r="T98" s="96">
        <v>12800.154387153849</v>
      </c>
      <c r="U98" s="5">
        <f t="shared" si="16"/>
        <v>-21.817290533414052</v>
      </c>
    </row>
    <row r="99" spans="2:21" x14ac:dyDescent="0.35">
      <c r="B99">
        <v>774</v>
      </c>
      <c r="C99" s="17">
        <v>6</v>
      </c>
      <c r="D99" s="22" t="s">
        <v>110</v>
      </c>
      <c r="E99" s="90">
        <v>368.77053231096539</v>
      </c>
      <c r="F99" s="90">
        <f>INDEX('Revised 2020 Lockdown'!H$5:H$254,MATCH(B99,'Revised 2020 Lockdown'!B$5:B$254,0))</f>
        <v>368.77053231096539</v>
      </c>
      <c r="G99" s="90">
        <f t="shared" si="10"/>
        <v>0</v>
      </c>
      <c r="H99" s="5">
        <v>332720.55</v>
      </c>
      <c r="I99" s="5">
        <f>INDEX('Revised 2020 Lockdown'!E$5:E$254,MATCH(B99,'Revised 2020 Lockdown'!B$5:B$254,0))</f>
        <v>332720.55</v>
      </c>
      <c r="J99" s="5">
        <f t="shared" si="11"/>
        <v>0</v>
      </c>
      <c r="K99" s="5">
        <v>0</v>
      </c>
      <c r="L99" s="5">
        <f>INDEX('Revised 2020 Lockdown'!F$5:F$254,MATCH(B99,'Revised 2020 Lockdown'!B$5:B$254,0))</f>
        <v>0</v>
      </c>
      <c r="M99" s="5">
        <f t="shared" si="12"/>
        <v>0</v>
      </c>
      <c r="N99" s="5">
        <f t="shared" si="9"/>
        <v>332720.55</v>
      </c>
      <c r="O99" s="60">
        <f>INDEX('Revised 2020 Lockdown'!G$5:G$254,MATCH(B99,'Revised 2020 Lockdown'!B$5:B$254,0))</f>
        <v>332720.55</v>
      </c>
      <c r="P99" s="5">
        <f t="shared" si="13"/>
        <v>0</v>
      </c>
      <c r="Q99" s="58">
        <f t="shared" si="14"/>
        <v>902.24277931034283</v>
      </c>
      <c r="R99" s="96">
        <f t="shared" si="15"/>
        <v>160169.10998920887</v>
      </c>
      <c r="T99" s="96">
        <v>160442.57718456379</v>
      </c>
      <c r="U99" s="5">
        <f t="shared" si="16"/>
        <v>-273.46719535492593</v>
      </c>
    </row>
    <row r="100" spans="2:21" x14ac:dyDescent="0.35">
      <c r="B100">
        <v>794</v>
      </c>
      <c r="C100" s="17">
        <v>6</v>
      </c>
      <c r="D100" s="22" t="s">
        <v>111</v>
      </c>
      <c r="E100" s="90">
        <v>20.222113750946743</v>
      </c>
      <c r="F100" s="90">
        <f>INDEX('Revised 2020 Lockdown'!H$5:H$254,MATCH(B100,'Revised 2020 Lockdown'!B$5:B$254,0))</f>
        <v>20.222113750946743</v>
      </c>
      <c r="G100" s="90">
        <f t="shared" si="10"/>
        <v>0</v>
      </c>
      <c r="H100" s="5">
        <v>49916.800000000003</v>
      </c>
      <c r="I100" s="5">
        <f>INDEX('Revised 2020 Lockdown'!E$5:E$254,MATCH(B100,'Revised 2020 Lockdown'!B$5:B$254,0))</f>
        <v>49916.800000000003</v>
      </c>
      <c r="J100" s="5">
        <f t="shared" si="11"/>
        <v>0</v>
      </c>
      <c r="K100" s="5">
        <v>0</v>
      </c>
      <c r="L100" s="5">
        <f>INDEX('Revised 2020 Lockdown'!F$5:F$254,MATCH(B100,'Revised 2020 Lockdown'!B$5:B$254,0))</f>
        <v>0</v>
      </c>
      <c r="M100" s="5">
        <f t="shared" si="12"/>
        <v>0</v>
      </c>
      <c r="N100" s="5">
        <f t="shared" si="9"/>
        <v>49916.800000000003</v>
      </c>
      <c r="O100" s="60">
        <f>INDEX('Revised 2020 Lockdown'!G$5:G$254,MATCH(B100,'Revised 2020 Lockdown'!B$5:B$254,0))</f>
        <v>49916.800000000003</v>
      </c>
      <c r="P100" s="5">
        <f t="shared" si="13"/>
        <v>0</v>
      </c>
      <c r="Q100" s="58">
        <f t="shared" si="14"/>
        <v>2468.4264273641047</v>
      </c>
      <c r="R100" s="96">
        <f t="shared" si="15"/>
        <v>24029.563035734769</v>
      </c>
      <c r="T100" s="96">
        <v>24070.590280060653</v>
      </c>
      <c r="U100" s="5">
        <f t="shared" si="16"/>
        <v>-41.027244325883657</v>
      </c>
    </row>
    <row r="101" spans="2:21" x14ac:dyDescent="0.35">
      <c r="B101">
        <v>806</v>
      </c>
      <c r="C101" s="17">
        <v>6</v>
      </c>
      <c r="D101" s="22" t="s">
        <v>112</v>
      </c>
      <c r="E101" s="90">
        <v>38</v>
      </c>
      <c r="F101" s="90">
        <f>INDEX('Revised 2020 Lockdown'!H$5:H$254,MATCH(B101,'Revised 2020 Lockdown'!B$5:B$254,0))</f>
        <v>38</v>
      </c>
      <c r="G101" s="90">
        <f t="shared" si="10"/>
        <v>0</v>
      </c>
      <c r="H101" s="5">
        <v>54684.83</v>
      </c>
      <c r="I101" s="5">
        <f>INDEX('Revised 2020 Lockdown'!E$5:E$254,MATCH(B101,'Revised 2020 Lockdown'!B$5:B$254,0))</f>
        <v>54684.83</v>
      </c>
      <c r="J101" s="5">
        <f t="shared" si="11"/>
        <v>0</v>
      </c>
      <c r="K101" s="5">
        <v>0</v>
      </c>
      <c r="L101" s="5">
        <f>INDEX('Revised 2020 Lockdown'!F$5:F$254,MATCH(B101,'Revised 2020 Lockdown'!B$5:B$254,0))</f>
        <v>0</v>
      </c>
      <c r="M101" s="5">
        <f t="shared" si="12"/>
        <v>0</v>
      </c>
      <c r="N101" s="5">
        <f t="shared" si="9"/>
        <v>54684.83</v>
      </c>
      <c r="O101" s="60">
        <f>INDEX('Revised 2020 Lockdown'!G$5:G$254,MATCH(B101,'Revised 2020 Lockdown'!B$5:B$254,0))</f>
        <v>54684.83</v>
      </c>
      <c r="P101" s="5">
        <f t="shared" si="13"/>
        <v>0</v>
      </c>
      <c r="Q101" s="58">
        <f t="shared" si="14"/>
        <v>1439.0744736842105</v>
      </c>
      <c r="R101" s="96">
        <f t="shared" si="15"/>
        <v>26324.855951972877</v>
      </c>
      <c r="T101" s="96">
        <v>26369.802099989767</v>
      </c>
      <c r="U101" s="5">
        <f t="shared" si="16"/>
        <v>-44.94614801689022</v>
      </c>
    </row>
    <row r="102" spans="2:21" x14ac:dyDescent="0.35">
      <c r="B102">
        <v>811</v>
      </c>
      <c r="C102" s="17">
        <v>6</v>
      </c>
      <c r="D102" s="22" t="s">
        <v>113</v>
      </c>
      <c r="E102" s="90">
        <v>628.76180768251299</v>
      </c>
      <c r="F102" s="90">
        <f>INDEX('Revised 2020 Lockdown'!H$5:H$254,MATCH(B102,'Revised 2020 Lockdown'!B$5:B$254,0))</f>
        <v>628.76180768251299</v>
      </c>
      <c r="G102" s="90">
        <f t="shared" si="10"/>
        <v>0</v>
      </c>
      <c r="H102" s="5">
        <v>653705.11</v>
      </c>
      <c r="I102" s="5">
        <f>INDEX('Revised 2020 Lockdown'!E$5:E$254,MATCH(B102,'Revised 2020 Lockdown'!B$5:B$254,0))</f>
        <v>651309.42000000004</v>
      </c>
      <c r="J102" s="5">
        <f t="shared" si="11"/>
        <v>-2395.6899999999441</v>
      </c>
      <c r="K102" s="5">
        <v>3336.7400000000002</v>
      </c>
      <c r="L102" s="5">
        <f>INDEX('Revised 2020 Lockdown'!F$5:F$254,MATCH(B102,'Revised 2020 Lockdown'!B$5:B$254,0))</f>
        <v>3336.7400000000002</v>
      </c>
      <c r="M102" s="5">
        <f t="shared" si="12"/>
        <v>0</v>
      </c>
      <c r="N102" s="5">
        <f t="shared" si="9"/>
        <v>650368.37</v>
      </c>
      <c r="O102" s="60">
        <f>INDEX('Revised 2020 Lockdown'!G$5:G$254,MATCH(B102,'Revised 2020 Lockdown'!B$5:B$254,0))</f>
        <v>647972.68000000005</v>
      </c>
      <c r="P102" s="5">
        <f t="shared" si="13"/>
        <v>-2395.6899999999441</v>
      </c>
      <c r="Q102" s="58">
        <f t="shared" si="14"/>
        <v>1030.553497497398</v>
      </c>
      <c r="R102" s="96">
        <f t="shared" si="15"/>
        <v>311929.05714096245</v>
      </c>
      <c r="T102" s="96">
        <v>313616.86977892992</v>
      </c>
      <c r="U102" s="5">
        <f t="shared" si="16"/>
        <v>-1687.812637967465</v>
      </c>
    </row>
    <row r="103" spans="2:21" x14ac:dyDescent="0.35">
      <c r="B103">
        <v>824</v>
      </c>
      <c r="C103" s="17">
        <v>6</v>
      </c>
      <c r="D103" s="22" t="s">
        <v>114</v>
      </c>
      <c r="E103" s="90">
        <v>32.54</v>
      </c>
      <c r="F103" s="90">
        <f>INDEX('Revised 2020 Lockdown'!H$5:H$254,MATCH(B103,'Revised 2020 Lockdown'!B$5:B$254,0))</f>
        <v>32.54</v>
      </c>
      <c r="G103" s="90">
        <f t="shared" si="10"/>
        <v>0</v>
      </c>
      <c r="H103" s="5">
        <v>58741.05</v>
      </c>
      <c r="I103" s="5">
        <f>INDEX('Revised 2020 Lockdown'!E$5:E$254,MATCH(B103,'Revised 2020 Lockdown'!B$5:B$254,0))</f>
        <v>58741.05</v>
      </c>
      <c r="J103" s="5">
        <f t="shared" si="11"/>
        <v>0</v>
      </c>
      <c r="K103" s="5">
        <v>0</v>
      </c>
      <c r="L103" s="5">
        <f>INDEX('Revised 2020 Lockdown'!F$5:F$254,MATCH(B103,'Revised 2020 Lockdown'!B$5:B$254,0))</f>
        <v>0</v>
      </c>
      <c r="M103" s="5">
        <f t="shared" si="12"/>
        <v>0</v>
      </c>
      <c r="N103" s="5">
        <f t="shared" si="9"/>
        <v>58741.05</v>
      </c>
      <c r="O103" s="60">
        <f>INDEX('Revised 2020 Lockdown'!G$5:G$254,MATCH(B103,'Revised 2020 Lockdown'!B$5:B$254,0))</f>
        <v>58741.05</v>
      </c>
      <c r="P103" s="5">
        <f t="shared" si="13"/>
        <v>0</v>
      </c>
      <c r="Q103" s="58">
        <f t="shared" si="14"/>
        <v>1805.1951444376155</v>
      </c>
      <c r="R103" s="96">
        <f t="shared" si="15"/>
        <v>28277.489016929125</v>
      </c>
      <c r="T103" s="96">
        <v>28325.769023065517</v>
      </c>
      <c r="U103" s="5">
        <f t="shared" si="16"/>
        <v>-48.280006136392331</v>
      </c>
    </row>
    <row r="104" spans="2:21" x14ac:dyDescent="0.35">
      <c r="B104">
        <v>826</v>
      </c>
      <c r="C104" s="17">
        <v>6</v>
      </c>
      <c r="D104" s="22" t="s">
        <v>115</v>
      </c>
      <c r="E104" s="90">
        <v>45.95</v>
      </c>
      <c r="F104" s="90">
        <f>INDEX('Revised 2020 Lockdown'!H$5:H$254,MATCH(B104,'Revised 2020 Lockdown'!B$5:B$254,0))</f>
        <v>45.95</v>
      </c>
      <c r="G104" s="90">
        <f t="shared" si="10"/>
        <v>0</v>
      </c>
      <c r="H104" s="5">
        <v>36376.480000000003</v>
      </c>
      <c r="I104" s="5">
        <f>INDEX('Revised 2020 Lockdown'!E$5:E$254,MATCH(B104,'Revised 2020 Lockdown'!B$5:B$254,0))</f>
        <v>36376.480000000003</v>
      </c>
      <c r="J104" s="5">
        <f t="shared" si="11"/>
        <v>0</v>
      </c>
      <c r="K104" s="5">
        <v>0</v>
      </c>
      <c r="L104" s="5">
        <f>INDEX('Revised 2020 Lockdown'!F$5:F$254,MATCH(B104,'Revised 2020 Lockdown'!B$5:B$254,0))</f>
        <v>0</v>
      </c>
      <c r="M104" s="5">
        <f t="shared" si="12"/>
        <v>0</v>
      </c>
      <c r="N104" s="5">
        <f t="shared" si="9"/>
        <v>36376.480000000003</v>
      </c>
      <c r="O104" s="60">
        <f>INDEX('Revised 2020 Lockdown'!G$5:G$254,MATCH(B104,'Revised 2020 Lockdown'!B$5:B$254,0))</f>
        <v>36376.480000000003</v>
      </c>
      <c r="P104" s="5">
        <f t="shared" si="13"/>
        <v>0</v>
      </c>
      <c r="Q104" s="58">
        <f t="shared" si="14"/>
        <v>791.653536452666</v>
      </c>
      <c r="R104" s="96">
        <f t="shared" si="15"/>
        <v>17511.357282080284</v>
      </c>
      <c r="T104" s="96">
        <v>17541.255567480704</v>
      </c>
      <c r="U104" s="5">
        <f t="shared" si="16"/>
        <v>-29.898285400420718</v>
      </c>
    </row>
    <row r="105" spans="2:21" x14ac:dyDescent="0.35">
      <c r="B105">
        <v>840</v>
      </c>
      <c r="C105" s="17">
        <v>6</v>
      </c>
      <c r="D105" s="22" t="s">
        <v>116</v>
      </c>
      <c r="E105" s="90">
        <v>148.27232695257985</v>
      </c>
      <c r="F105" s="90">
        <f>INDEX('Revised 2020 Lockdown'!H$5:H$254,MATCH(B105,'Revised 2020 Lockdown'!B$5:B$254,0))</f>
        <v>148.27232695257985</v>
      </c>
      <c r="G105" s="90">
        <f t="shared" si="10"/>
        <v>0</v>
      </c>
      <c r="H105" s="5">
        <v>165320.72</v>
      </c>
      <c r="I105" s="5">
        <f>INDEX('Revised 2020 Lockdown'!E$5:E$254,MATCH(B105,'Revised 2020 Lockdown'!B$5:B$254,0))</f>
        <v>165320.72</v>
      </c>
      <c r="J105" s="5">
        <f t="shared" si="11"/>
        <v>0</v>
      </c>
      <c r="K105" s="5">
        <v>0</v>
      </c>
      <c r="L105" s="5">
        <f>INDEX('Revised 2020 Lockdown'!F$5:F$254,MATCH(B105,'Revised 2020 Lockdown'!B$5:B$254,0))</f>
        <v>0</v>
      </c>
      <c r="M105" s="5">
        <f t="shared" si="12"/>
        <v>0</v>
      </c>
      <c r="N105" s="5">
        <f t="shared" si="9"/>
        <v>165320.72</v>
      </c>
      <c r="O105" s="60">
        <f>INDEX('Revised 2020 Lockdown'!G$5:G$254,MATCH(B105,'Revised 2020 Lockdown'!B$5:B$254,0))</f>
        <v>165320.72</v>
      </c>
      <c r="P105" s="5">
        <f t="shared" si="13"/>
        <v>0</v>
      </c>
      <c r="Q105" s="58">
        <f t="shared" si="14"/>
        <v>1114.9802758061019</v>
      </c>
      <c r="R105" s="96">
        <f t="shared" si="15"/>
        <v>79584.121224779185</v>
      </c>
      <c r="T105" s="96">
        <v>79720.000399156779</v>
      </c>
      <c r="U105" s="5">
        <f t="shared" si="16"/>
        <v>-135.87917437759461</v>
      </c>
    </row>
    <row r="106" spans="2:21" x14ac:dyDescent="0.35">
      <c r="B106">
        <v>843</v>
      </c>
      <c r="C106" s="17">
        <v>6</v>
      </c>
      <c r="D106" s="22" t="s">
        <v>117</v>
      </c>
      <c r="E106" s="90">
        <v>25</v>
      </c>
      <c r="F106" s="90">
        <f>INDEX('Revised 2020 Lockdown'!H$5:H$254,MATCH(B106,'Revised 2020 Lockdown'!B$5:B$254,0))</f>
        <v>25</v>
      </c>
      <c r="G106" s="90">
        <f t="shared" si="10"/>
        <v>0</v>
      </c>
      <c r="H106" s="5">
        <v>32482.07</v>
      </c>
      <c r="I106" s="5">
        <f>INDEX('Revised 2020 Lockdown'!E$5:E$254,MATCH(B106,'Revised 2020 Lockdown'!B$5:B$254,0))</f>
        <v>32482.07</v>
      </c>
      <c r="J106" s="5">
        <f t="shared" si="11"/>
        <v>0</v>
      </c>
      <c r="K106" s="5">
        <v>0</v>
      </c>
      <c r="L106" s="5">
        <f>INDEX('Revised 2020 Lockdown'!F$5:F$254,MATCH(B106,'Revised 2020 Lockdown'!B$5:B$254,0))</f>
        <v>0</v>
      </c>
      <c r="M106" s="5">
        <f t="shared" si="12"/>
        <v>0</v>
      </c>
      <c r="N106" s="5">
        <f t="shared" si="9"/>
        <v>32482.07</v>
      </c>
      <c r="O106" s="60">
        <f>INDEX('Revised 2020 Lockdown'!G$5:G$254,MATCH(B106,'Revised 2020 Lockdown'!B$5:B$254,0))</f>
        <v>32482.07</v>
      </c>
      <c r="P106" s="5">
        <f t="shared" si="13"/>
        <v>0</v>
      </c>
      <c r="Q106" s="58">
        <f t="shared" si="14"/>
        <v>1299.2828</v>
      </c>
      <c r="R106" s="96">
        <f t="shared" si="15"/>
        <v>15636.618304782141</v>
      </c>
      <c r="T106" s="96">
        <v>15663.315725732613</v>
      </c>
      <c r="U106" s="5">
        <f t="shared" si="16"/>
        <v>-26.697420950471496</v>
      </c>
    </row>
    <row r="107" spans="2:21" x14ac:dyDescent="0.35">
      <c r="B107">
        <v>846</v>
      </c>
      <c r="C107" s="17">
        <v>6</v>
      </c>
      <c r="D107" s="22" t="s">
        <v>291</v>
      </c>
      <c r="E107" s="90">
        <v>28.75</v>
      </c>
      <c r="F107" s="90">
        <f>INDEX('Revised 2020 Lockdown'!H$5:H$254,MATCH(B107,'Revised 2020 Lockdown'!B$5:B$254,0))</f>
        <v>28.75</v>
      </c>
      <c r="G107" s="90">
        <f t="shared" si="10"/>
        <v>0</v>
      </c>
      <c r="H107" s="5">
        <v>38978.49</v>
      </c>
      <c r="I107" s="5">
        <f>INDEX('Revised 2020 Lockdown'!E$5:E$254,MATCH(B107,'Revised 2020 Lockdown'!B$5:B$254,0))</f>
        <v>38978.49</v>
      </c>
      <c r="J107" s="5">
        <f t="shared" si="11"/>
        <v>0</v>
      </c>
      <c r="K107" s="5">
        <v>0</v>
      </c>
      <c r="L107" s="5">
        <f>INDEX('Revised 2020 Lockdown'!F$5:F$254,MATCH(B107,'Revised 2020 Lockdown'!B$5:B$254,0))</f>
        <v>0</v>
      </c>
      <c r="M107" s="5">
        <f t="shared" si="12"/>
        <v>0</v>
      </c>
      <c r="N107" s="5">
        <f t="shared" si="9"/>
        <v>38978.49</v>
      </c>
      <c r="O107" s="60">
        <f>INDEX('Revised 2020 Lockdown'!G$5:G$254,MATCH(B107,'Revised 2020 Lockdown'!B$5:B$254,0))</f>
        <v>38978.49</v>
      </c>
      <c r="P107" s="5">
        <f t="shared" si="13"/>
        <v>0</v>
      </c>
      <c r="Q107" s="58">
        <f t="shared" si="14"/>
        <v>1355.7735652173913</v>
      </c>
      <c r="R107" s="96">
        <f t="shared" si="15"/>
        <v>18763.944854092355</v>
      </c>
      <c r="T107" s="96">
        <v>18795.981764164397</v>
      </c>
      <c r="U107" s="5">
        <f t="shared" si="16"/>
        <v>-32.036910072041792</v>
      </c>
    </row>
    <row r="108" spans="2:21" x14ac:dyDescent="0.35">
      <c r="B108">
        <v>888</v>
      </c>
      <c r="C108" s="17">
        <v>6</v>
      </c>
      <c r="D108" s="22" t="s">
        <v>118</v>
      </c>
      <c r="E108" s="90">
        <v>93.497946646513114</v>
      </c>
      <c r="F108" s="90">
        <f>INDEX('Revised 2020 Lockdown'!H$5:H$254,MATCH(B108,'Revised 2020 Lockdown'!B$5:B$254,0))</f>
        <v>93.497946646513114</v>
      </c>
      <c r="G108" s="90">
        <f t="shared" si="10"/>
        <v>0</v>
      </c>
      <c r="H108" s="5">
        <v>73270.44</v>
      </c>
      <c r="I108" s="5">
        <f>INDEX('Revised 2020 Lockdown'!E$5:E$254,MATCH(B108,'Revised 2020 Lockdown'!B$5:B$254,0))</f>
        <v>73270.44</v>
      </c>
      <c r="J108" s="5">
        <f t="shared" si="11"/>
        <v>0</v>
      </c>
      <c r="K108" s="5">
        <v>0</v>
      </c>
      <c r="L108" s="5">
        <f>INDEX('Revised 2020 Lockdown'!F$5:F$254,MATCH(B108,'Revised 2020 Lockdown'!B$5:B$254,0))</f>
        <v>0</v>
      </c>
      <c r="M108" s="5">
        <f t="shared" si="12"/>
        <v>0</v>
      </c>
      <c r="N108" s="5">
        <f t="shared" si="9"/>
        <v>73270.44</v>
      </c>
      <c r="O108" s="60">
        <f>INDEX('Revised 2020 Lockdown'!G$5:G$254,MATCH(B108,'Revised 2020 Lockdown'!B$5:B$254,0))</f>
        <v>73270.44</v>
      </c>
      <c r="P108" s="5">
        <f t="shared" si="13"/>
        <v>0</v>
      </c>
      <c r="Q108" s="58">
        <f t="shared" si="14"/>
        <v>783.65827943808142</v>
      </c>
      <c r="R108" s="96">
        <f t="shared" si="15"/>
        <v>35271.825450269687</v>
      </c>
      <c r="T108" s="96">
        <v>35332.047344376391</v>
      </c>
      <c r="U108" s="5">
        <f t="shared" si="16"/>
        <v>-60.221894106703985</v>
      </c>
    </row>
    <row r="109" spans="2:21" x14ac:dyDescent="0.35">
      <c r="B109">
        <v>889</v>
      </c>
      <c r="C109" s="17">
        <v>6</v>
      </c>
      <c r="D109" s="22" t="s">
        <v>119</v>
      </c>
      <c r="E109" s="90">
        <v>36.290273990170526</v>
      </c>
      <c r="F109" s="90">
        <f>INDEX('Revised 2020 Lockdown'!H$5:H$254,MATCH(B109,'Revised 2020 Lockdown'!B$5:B$254,0))</f>
        <v>36.290273990170526</v>
      </c>
      <c r="G109" s="90">
        <f t="shared" si="10"/>
        <v>0</v>
      </c>
      <c r="H109" s="5">
        <v>53122.93</v>
      </c>
      <c r="I109" s="5">
        <f>INDEX('Revised 2020 Lockdown'!E$5:E$254,MATCH(B109,'Revised 2020 Lockdown'!B$5:B$254,0))</f>
        <v>53122.93</v>
      </c>
      <c r="J109" s="5">
        <f t="shared" si="11"/>
        <v>0</v>
      </c>
      <c r="K109" s="5">
        <v>0</v>
      </c>
      <c r="L109" s="5">
        <f>INDEX('Revised 2020 Lockdown'!F$5:F$254,MATCH(B109,'Revised 2020 Lockdown'!B$5:B$254,0))</f>
        <v>0</v>
      </c>
      <c r="M109" s="5">
        <f t="shared" si="12"/>
        <v>0</v>
      </c>
      <c r="N109" s="5">
        <f t="shared" si="9"/>
        <v>53122.93</v>
      </c>
      <c r="O109" s="60">
        <f>INDEX('Revised 2020 Lockdown'!G$5:G$254,MATCH(B109,'Revised 2020 Lockdown'!B$5:B$254,0))</f>
        <v>53122.93</v>
      </c>
      <c r="P109" s="5">
        <f t="shared" si="13"/>
        <v>0</v>
      </c>
      <c r="Q109" s="58">
        <f t="shared" si="14"/>
        <v>1463.8338088709033</v>
      </c>
      <c r="R109" s="96">
        <f t="shared" si="15"/>
        <v>25572.96932251117</v>
      </c>
      <c r="T109" s="96">
        <v>25616.631725317777</v>
      </c>
      <c r="U109" s="5">
        <f t="shared" si="16"/>
        <v>-43.662402806607133</v>
      </c>
    </row>
    <row r="110" spans="2:21" x14ac:dyDescent="0.35">
      <c r="B110">
        <v>891</v>
      </c>
      <c r="C110" s="17">
        <v>6</v>
      </c>
      <c r="D110" s="22" t="s">
        <v>120</v>
      </c>
      <c r="E110" s="90">
        <v>273.0316618831543</v>
      </c>
      <c r="F110" s="90">
        <f>INDEX('Revised 2020 Lockdown'!H$5:H$254,MATCH(B110,'Revised 2020 Lockdown'!B$5:B$254,0))</f>
        <v>273.0316618831543</v>
      </c>
      <c r="G110" s="90">
        <f t="shared" si="10"/>
        <v>0</v>
      </c>
      <c r="H110" s="5">
        <v>108583.36</v>
      </c>
      <c r="I110" s="5">
        <f>INDEX('Revised 2020 Lockdown'!E$5:E$254,MATCH(B110,'Revised 2020 Lockdown'!B$5:B$254,0))</f>
        <v>108583.36</v>
      </c>
      <c r="J110" s="5">
        <f t="shared" si="11"/>
        <v>0</v>
      </c>
      <c r="K110" s="5">
        <v>0</v>
      </c>
      <c r="L110" s="5">
        <f>INDEX('Revised 2020 Lockdown'!F$5:F$254,MATCH(B110,'Revised 2020 Lockdown'!B$5:B$254,0))</f>
        <v>0</v>
      </c>
      <c r="M110" s="5">
        <f t="shared" si="12"/>
        <v>0</v>
      </c>
      <c r="N110" s="5">
        <f t="shared" si="9"/>
        <v>108583.36</v>
      </c>
      <c r="O110" s="60">
        <f>INDEX('Revised 2020 Lockdown'!G$5:G$254,MATCH(B110,'Revised 2020 Lockdown'!B$5:B$254,0))</f>
        <v>108583.36</v>
      </c>
      <c r="P110" s="5">
        <f t="shared" si="13"/>
        <v>0</v>
      </c>
      <c r="Q110" s="58">
        <f t="shared" si="14"/>
        <v>397.69512169789658</v>
      </c>
      <c r="R110" s="96">
        <f t="shared" si="15"/>
        <v>52271.193140423282</v>
      </c>
      <c r="T110" s="96">
        <v>52360.439166619792</v>
      </c>
      <c r="U110" s="5">
        <f t="shared" si="16"/>
        <v>-89.246026196509774</v>
      </c>
    </row>
    <row r="111" spans="2:21" x14ac:dyDescent="0.35">
      <c r="B111">
        <v>904</v>
      </c>
      <c r="C111" s="17">
        <v>6</v>
      </c>
      <c r="D111" s="22" t="s">
        <v>121</v>
      </c>
      <c r="E111" s="90">
        <v>32.310192920507085</v>
      </c>
      <c r="F111" s="90">
        <f>INDEX('Revised 2020 Lockdown'!H$5:H$254,MATCH(B111,'Revised 2020 Lockdown'!B$5:B$254,0))</f>
        <v>32.310192920507085</v>
      </c>
      <c r="G111" s="90">
        <f t="shared" si="10"/>
        <v>0</v>
      </c>
      <c r="H111" s="5">
        <v>14142.95</v>
      </c>
      <c r="I111" s="5">
        <f>INDEX('Revised 2020 Lockdown'!E$5:E$254,MATCH(B111,'Revised 2020 Lockdown'!B$5:B$254,0))</f>
        <v>14142.95</v>
      </c>
      <c r="J111" s="5">
        <f t="shared" si="11"/>
        <v>0</v>
      </c>
      <c r="K111" s="5">
        <v>0</v>
      </c>
      <c r="L111" s="5">
        <f>INDEX('Revised 2020 Lockdown'!F$5:F$254,MATCH(B111,'Revised 2020 Lockdown'!B$5:B$254,0))</f>
        <v>0</v>
      </c>
      <c r="M111" s="5">
        <f t="shared" si="12"/>
        <v>0</v>
      </c>
      <c r="N111" s="5">
        <f t="shared" si="9"/>
        <v>14142.95</v>
      </c>
      <c r="O111" s="60">
        <f>INDEX('Revised 2020 Lockdown'!G$5:G$254,MATCH(B111,'Revised 2020 Lockdown'!B$5:B$254,0))</f>
        <v>14142.95</v>
      </c>
      <c r="P111" s="5">
        <f t="shared" si="13"/>
        <v>0</v>
      </c>
      <c r="Q111" s="58">
        <f t="shared" si="14"/>
        <v>437.72409638023413</v>
      </c>
      <c r="R111" s="96">
        <f t="shared" si="15"/>
        <v>6808.3071938955427</v>
      </c>
      <c r="T111" s="96">
        <v>6819.9314619804118</v>
      </c>
      <c r="U111" s="5">
        <f t="shared" si="16"/>
        <v>-11.624268084869072</v>
      </c>
    </row>
    <row r="112" spans="2:21" x14ac:dyDescent="0.35">
      <c r="B112">
        <v>906</v>
      </c>
      <c r="C112" s="17">
        <v>6</v>
      </c>
      <c r="D112" s="22" t="s">
        <v>292</v>
      </c>
      <c r="E112" s="90">
        <v>219.6</v>
      </c>
      <c r="F112" s="90">
        <f>INDEX('Revised 2020 Lockdown'!H$5:H$254,MATCH(B112,'Revised 2020 Lockdown'!B$5:B$254,0))</f>
        <v>219.6</v>
      </c>
      <c r="G112" s="90">
        <f t="shared" si="10"/>
        <v>0</v>
      </c>
      <c r="H112" s="5">
        <v>243035.85</v>
      </c>
      <c r="I112" s="5">
        <f>INDEX('Revised 2020 Lockdown'!E$5:E$254,MATCH(B112,'Revised 2020 Lockdown'!B$5:B$254,0))</f>
        <v>235284.62</v>
      </c>
      <c r="J112" s="5">
        <f t="shared" si="11"/>
        <v>-7751.2300000000105</v>
      </c>
      <c r="K112" s="5">
        <v>38252.300000000003</v>
      </c>
      <c r="L112" s="5">
        <f>INDEX('Revised 2020 Lockdown'!F$5:F$254,MATCH(B112,'Revised 2020 Lockdown'!B$5:B$254,0))</f>
        <v>38252.300000000003</v>
      </c>
      <c r="M112" s="5">
        <f t="shared" si="12"/>
        <v>0</v>
      </c>
      <c r="N112" s="5">
        <f t="shared" si="9"/>
        <v>204783.55</v>
      </c>
      <c r="O112" s="60">
        <f>INDEX('Revised 2020 Lockdown'!G$5:G$254,MATCH(B112,'Revised 2020 Lockdown'!B$5:B$254,0))</f>
        <v>197032.32000000001</v>
      </c>
      <c r="P112" s="5">
        <f t="shared" si="13"/>
        <v>-7751.2299999999814</v>
      </c>
      <c r="Q112" s="58">
        <f t="shared" si="14"/>
        <v>897.2327868852459</v>
      </c>
      <c r="R112" s="96">
        <f t="shared" si="15"/>
        <v>94849.841206108249</v>
      </c>
      <c r="T112" s="96">
        <v>98749.537793815194</v>
      </c>
      <c r="U112" s="5">
        <f t="shared" si="16"/>
        <v>-3899.6965877069451</v>
      </c>
    </row>
    <row r="113" spans="2:21" x14ac:dyDescent="0.35">
      <c r="B113">
        <v>917</v>
      </c>
      <c r="C113" s="17">
        <v>6</v>
      </c>
      <c r="D113" s="22" t="s">
        <v>293</v>
      </c>
      <c r="E113" s="90">
        <v>208.7606404745743</v>
      </c>
      <c r="F113" s="90">
        <f>INDEX('Revised 2020 Lockdown'!H$5:H$254,MATCH(B113,'Revised 2020 Lockdown'!B$5:B$254,0))</f>
        <v>208.7606404745743</v>
      </c>
      <c r="G113" s="90">
        <f t="shared" si="10"/>
        <v>0</v>
      </c>
      <c r="H113" s="5">
        <v>55100.05</v>
      </c>
      <c r="I113" s="5">
        <f>INDEX('Revised 2020 Lockdown'!E$5:E$254,MATCH(B113,'Revised 2020 Lockdown'!B$5:B$254,0))</f>
        <v>55100.05</v>
      </c>
      <c r="J113" s="5">
        <f t="shared" si="11"/>
        <v>0</v>
      </c>
      <c r="K113" s="5">
        <v>249.67</v>
      </c>
      <c r="L113" s="5">
        <f>INDEX('Revised 2020 Lockdown'!F$5:F$254,MATCH(B113,'Revised 2020 Lockdown'!B$5:B$254,0))</f>
        <v>249.67</v>
      </c>
      <c r="M113" s="5">
        <f t="shared" si="12"/>
        <v>0</v>
      </c>
      <c r="N113" s="5">
        <f t="shared" si="9"/>
        <v>54850.380000000005</v>
      </c>
      <c r="O113" s="60">
        <f>INDEX('Revised 2020 Lockdown'!G$5:G$254,MATCH(B113,'Revised 2020 Lockdown'!B$5:B$254,0))</f>
        <v>54850.380000000005</v>
      </c>
      <c r="P113" s="5">
        <f t="shared" si="13"/>
        <v>0</v>
      </c>
      <c r="Q113" s="58">
        <f t="shared" si="14"/>
        <v>262.742918757621</v>
      </c>
      <c r="R113" s="96">
        <f t="shared" si="15"/>
        <v>26404.550446823625</v>
      </c>
      <c r="T113" s="96">
        <v>26449.632662463006</v>
      </c>
      <c r="U113" s="5">
        <f t="shared" si="16"/>
        <v>-45.082215639380593</v>
      </c>
    </row>
    <row r="114" spans="2:21" x14ac:dyDescent="0.35">
      <c r="B114">
        <v>957</v>
      </c>
      <c r="C114" s="17">
        <v>6</v>
      </c>
      <c r="D114" s="22" t="s">
        <v>122</v>
      </c>
      <c r="E114" s="90">
        <v>111.0869274079726</v>
      </c>
      <c r="F114" s="90">
        <f>INDEX('Revised 2020 Lockdown'!H$5:H$254,MATCH(B114,'Revised 2020 Lockdown'!B$5:B$254,0))</f>
        <v>111.0869274079726</v>
      </c>
      <c r="G114" s="90">
        <f t="shared" si="10"/>
        <v>0</v>
      </c>
      <c r="H114" s="5">
        <v>42589.67</v>
      </c>
      <c r="I114" s="5">
        <f>INDEX('Revised 2020 Lockdown'!E$5:E$254,MATCH(B114,'Revised 2020 Lockdown'!B$5:B$254,0))</f>
        <v>42589.67</v>
      </c>
      <c r="J114" s="5">
        <f t="shared" si="11"/>
        <v>0</v>
      </c>
      <c r="K114" s="5">
        <v>0</v>
      </c>
      <c r="L114" s="5">
        <f>INDEX('Revised 2020 Lockdown'!F$5:F$254,MATCH(B114,'Revised 2020 Lockdown'!B$5:B$254,0))</f>
        <v>0</v>
      </c>
      <c r="M114" s="5">
        <f t="shared" si="12"/>
        <v>0</v>
      </c>
      <c r="N114" s="5">
        <f t="shared" si="9"/>
        <v>42589.67</v>
      </c>
      <c r="O114" s="60">
        <f>INDEX('Revised 2020 Lockdown'!G$5:G$254,MATCH(B114,'Revised 2020 Lockdown'!B$5:B$254,0))</f>
        <v>42589.67</v>
      </c>
      <c r="P114" s="5">
        <f t="shared" si="13"/>
        <v>0</v>
      </c>
      <c r="Q114" s="58">
        <f t="shared" si="14"/>
        <v>383.39047621316587</v>
      </c>
      <c r="R114" s="96">
        <f t="shared" si="15"/>
        <v>20502.33909097021</v>
      </c>
      <c r="T114" s="96">
        <v>20537.344075200948</v>
      </c>
      <c r="U114" s="5">
        <f t="shared" si="16"/>
        <v>-35.004984230738046</v>
      </c>
    </row>
    <row r="115" spans="2:21" x14ac:dyDescent="0.35">
      <c r="B115">
        <v>959</v>
      </c>
      <c r="C115" s="17">
        <v>6</v>
      </c>
      <c r="D115" s="22" t="s">
        <v>123</v>
      </c>
      <c r="E115" s="90">
        <v>397.36171327000005</v>
      </c>
      <c r="F115" s="90">
        <f>INDEX('Revised 2020 Lockdown'!H$5:H$254,MATCH(B115,'Revised 2020 Lockdown'!B$5:B$254,0))</f>
        <v>397.36171327000005</v>
      </c>
      <c r="G115" s="90">
        <f t="shared" si="10"/>
        <v>0</v>
      </c>
      <c r="H115" s="5">
        <v>129709.08</v>
      </c>
      <c r="I115" s="5">
        <f>INDEX('Revised 2020 Lockdown'!E$5:E$254,MATCH(B115,'Revised 2020 Lockdown'!B$5:B$254,0))</f>
        <v>129709.08</v>
      </c>
      <c r="J115" s="5">
        <f t="shared" si="11"/>
        <v>0</v>
      </c>
      <c r="K115" s="5">
        <v>0</v>
      </c>
      <c r="L115" s="5">
        <f>INDEX('Revised 2020 Lockdown'!F$5:F$254,MATCH(B115,'Revised 2020 Lockdown'!B$5:B$254,0))</f>
        <v>0</v>
      </c>
      <c r="M115" s="5">
        <f t="shared" si="12"/>
        <v>0</v>
      </c>
      <c r="N115" s="5">
        <f t="shared" si="9"/>
        <v>129709.08</v>
      </c>
      <c r="O115" s="60">
        <f>INDEX('Revised 2020 Lockdown'!G$5:G$254,MATCH(B115,'Revised 2020 Lockdown'!B$5:B$254,0))</f>
        <v>129709.08</v>
      </c>
      <c r="P115" s="5">
        <f t="shared" si="13"/>
        <v>0</v>
      </c>
      <c r="Q115" s="58">
        <f t="shared" si="14"/>
        <v>326.42571155783457</v>
      </c>
      <c r="R115" s="96">
        <f t="shared" si="15"/>
        <v>62440.952027517065</v>
      </c>
      <c r="T115" s="96">
        <v>62547.561548088212</v>
      </c>
      <c r="U115" s="5">
        <f t="shared" si="16"/>
        <v>-106.60952057114628</v>
      </c>
    </row>
    <row r="116" spans="2:21" x14ac:dyDescent="0.35">
      <c r="B116">
        <v>969</v>
      </c>
      <c r="C116" s="17">
        <v>6</v>
      </c>
      <c r="D116" s="22" t="s">
        <v>294</v>
      </c>
      <c r="E116" s="90">
        <v>22.471584714266651</v>
      </c>
      <c r="F116" s="90">
        <f>INDEX('Revised 2020 Lockdown'!H$5:H$254,MATCH(B116,'Revised 2020 Lockdown'!B$5:B$254,0))</f>
        <v>22.471584714266651</v>
      </c>
      <c r="G116" s="90">
        <f t="shared" si="10"/>
        <v>0</v>
      </c>
      <c r="H116" s="5">
        <v>91911.13</v>
      </c>
      <c r="I116" s="5">
        <f>INDEX('Revised 2020 Lockdown'!E$5:E$254,MATCH(B116,'Revised 2020 Lockdown'!B$5:B$254,0))</f>
        <v>91911.13</v>
      </c>
      <c r="J116" s="5">
        <f t="shared" si="11"/>
        <v>0</v>
      </c>
      <c r="K116" s="5">
        <v>0</v>
      </c>
      <c r="L116" s="5">
        <f>INDEX('Revised 2020 Lockdown'!F$5:F$254,MATCH(B116,'Revised 2020 Lockdown'!B$5:B$254,0))</f>
        <v>0</v>
      </c>
      <c r="M116" s="5">
        <f t="shared" si="12"/>
        <v>0</v>
      </c>
      <c r="N116" s="5">
        <f t="shared" si="9"/>
        <v>91911.13</v>
      </c>
      <c r="O116" s="60">
        <f>INDEX('Revised 2020 Lockdown'!G$5:G$254,MATCH(B116,'Revised 2020 Lockdown'!B$5:B$254,0))</f>
        <v>91911.13</v>
      </c>
      <c r="P116" s="5">
        <f t="shared" si="13"/>
        <v>0</v>
      </c>
      <c r="Q116" s="58">
        <f t="shared" si="14"/>
        <v>4090.1045105932344</v>
      </c>
      <c r="R116" s="96">
        <f t="shared" si="15"/>
        <v>44245.31003631268</v>
      </c>
      <c r="T116" s="96">
        <v>44320.852947452382</v>
      </c>
      <c r="U116" s="5">
        <f t="shared" si="16"/>
        <v>-75.542911139702483</v>
      </c>
    </row>
    <row r="117" spans="2:21" x14ac:dyDescent="0.35">
      <c r="B117">
        <v>970</v>
      </c>
      <c r="C117" s="17">
        <v>6</v>
      </c>
      <c r="D117" s="22" t="s">
        <v>124</v>
      </c>
      <c r="E117" s="90">
        <v>198.26881399507798</v>
      </c>
      <c r="F117" s="90">
        <f>INDEX('Revised 2020 Lockdown'!H$5:H$254,MATCH(B117,'Revised 2020 Lockdown'!B$5:B$254,0))</f>
        <v>198.26881399507798</v>
      </c>
      <c r="G117" s="90">
        <f t="shared" si="10"/>
        <v>0</v>
      </c>
      <c r="H117" s="5">
        <v>75037.05</v>
      </c>
      <c r="I117" s="5">
        <f>INDEX('Revised 2020 Lockdown'!E$5:E$254,MATCH(B117,'Revised 2020 Lockdown'!B$5:B$254,0))</f>
        <v>75037.05</v>
      </c>
      <c r="J117" s="5">
        <f t="shared" si="11"/>
        <v>0</v>
      </c>
      <c r="K117" s="5">
        <v>280</v>
      </c>
      <c r="L117" s="5">
        <f>INDEX('Revised 2020 Lockdown'!F$5:F$254,MATCH(B117,'Revised 2020 Lockdown'!B$5:B$254,0))</f>
        <v>280</v>
      </c>
      <c r="M117" s="5">
        <f t="shared" si="12"/>
        <v>0</v>
      </c>
      <c r="N117" s="5">
        <f t="shared" si="9"/>
        <v>74757.05</v>
      </c>
      <c r="O117" s="60">
        <f>INDEX('Revised 2020 Lockdown'!G$5:G$254,MATCH(B117,'Revised 2020 Lockdown'!B$5:B$254,0))</f>
        <v>74757.05</v>
      </c>
      <c r="P117" s="5">
        <f t="shared" si="13"/>
        <v>0</v>
      </c>
      <c r="Q117" s="58">
        <f t="shared" si="14"/>
        <v>377.04895940849195</v>
      </c>
      <c r="R117" s="96">
        <f t="shared" si="15"/>
        <v>35987.468053652796</v>
      </c>
      <c r="T117" s="96">
        <v>36048.911811173959</v>
      </c>
      <c r="U117" s="5">
        <f t="shared" si="16"/>
        <v>-61.443757521163207</v>
      </c>
    </row>
    <row r="118" spans="2:21" x14ac:dyDescent="0.35">
      <c r="B118">
        <v>980</v>
      </c>
      <c r="C118" s="17">
        <v>6</v>
      </c>
      <c r="D118" s="22" t="s">
        <v>125</v>
      </c>
      <c r="E118" s="90">
        <v>27.866291129542216</v>
      </c>
      <c r="F118" s="90">
        <f>INDEX('Revised 2020 Lockdown'!H$5:H$254,MATCH(B118,'Revised 2020 Lockdown'!B$5:B$254,0))</f>
        <v>27.866291129542216</v>
      </c>
      <c r="G118" s="90">
        <f t="shared" si="10"/>
        <v>0</v>
      </c>
      <c r="H118" s="5">
        <v>40760.720000000001</v>
      </c>
      <c r="I118" s="5">
        <f>INDEX('Revised 2020 Lockdown'!E$5:E$254,MATCH(B118,'Revised 2020 Lockdown'!B$5:B$254,0))</f>
        <v>40760.720000000001</v>
      </c>
      <c r="J118" s="5">
        <f t="shared" si="11"/>
        <v>0</v>
      </c>
      <c r="K118" s="5">
        <v>0</v>
      </c>
      <c r="L118" s="5">
        <f>INDEX('Revised 2020 Lockdown'!F$5:F$254,MATCH(B118,'Revised 2020 Lockdown'!B$5:B$254,0))</f>
        <v>0</v>
      </c>
      <c r="M118" s="5">
        <f t="shared" si="12"/>
        <v>0</v>
      </c>
      <c r="N118" s="5">
        <f t="shared" si="9"/>
        <v>40760.720000000001</v>
      </c>
      <c r="O118" s="60">
        <f>INDEX('Revised 2020 Lockdown'!G$5:G$254,MATCH(B118,'Revised 2020 Lockdown'!B$5:B$254,0))</f>
        <v>40760.720000000001</v>
      </c>
      <c r="P118" s="5">
        <f t="shared" si="13"/>
        <v>0</v>
      </c>
      <c r="Q118" s="58">
        <f t="shared" si="14"/>
        <v>1462.7249751506351</v>
      </c>
      <c r="R118" s="96">
        <f t="shared" si="15"/>
        <v>19621.896648461738</v>
      </c>
      <c r="T118" s="96">
        <v>19655.398395735981</v>
      </c>
      <c r="U118" s="5">
        <f t="shared" si="16"/>
        <v>-33.501747274243826</v>
      </c>
    </row>
    <row r="119" spans="2:21" x14ac:dyDescent="0.35">
      <c r="B119">
        <v>986</v>
      </c>
      <c r="C119" s="17">
        <v>6</v>
      </c>
      <c r="D119" s="22" t="s">
        <v>126</v>
      </c>
      <c r="E119" s="90">
        <v>8.3247874102767128</v>
      </c>
      <c r="F119" s="90">
        <f>INDEX('Revised 2020 Lockdown'!H$5:H$254,MATCH(B119,'Revised 2020 Lockdown'!B$5:B$254,0))</f>
        <v>8.3247874102767128</v>
      </c>
      <c r="G119" s="90">
        <f t="shared" si="10"/>
        <v>0</v>
      </c>
      <c r="H119" s="5">
        <v>44331</v>
      </c>
      <c r="I119" s="5">
        <f>INDEX('Revised 2020 Lockdown'!E$5:E$254,MATCH(B119,'Revised 2020 Lockdown'!B$5:B$254,0))</f>
        <v>44331</v>
      </c>
      <c r="J119" s="5">
        <f t="shared" si="11"/>
        <v>0</v>
      </c>
      <c r="K119" s="5">
        <v>0</v>
      </c>
      <c r="L119" s="5">
        <f>INDEX('Revised 2020 Lockdown'!F$5:F$254,MATCH(B119,'Revised 2020 Lockdown'!B$5:B$254,0))</f>
        <v>0</v>
      </c>
      <c r="M119" s="5">
        <f t="shared" si="12"/>
        <v>0</v>
      </c>
      <c r="N119" s="5">
        <f t="shared" si="9"/>
        <v>44331</v>
      </c>
      <c r="O119" s="60">
        <f>INDEX('Revised 2020 Lockdown'!G$5:G$254,MATCH(B119,'Revised 2020 Lockdown'!B$5:B$254,0))</f>
        <v>44331</v>
      </c>
      <c r="P119" s="5">
        <f t="shared" si="13"/>
        <v>0</v>
      </c>
      <c r="Q119" s="58">
        <f t="shared" si="14"/>
        <v>5325.1810304818891</v>
      </c>
      <c r="R119" s="96">
        <f t="shared" si="15"/>
        <v>21340.601940371937</v>
      </c>
      <c r="T119" s="96">
        <v>21377.038145581624</v>
      </c>
      <c r="U119" s="5">
        <f t="shared" si="16"/>
        <v>-36.436205209687614</v>
      </c>
    </row>
    <row r="120" spans="2:21" x14ac:dyDescent="0.35">
      <c r="B120">
        <v>988</v>
      </c>
      <c r="C120" s="17">
        <v>6</v>
      </c>
      <c r="D120" s="22" t="s">
        <v>127</v>
      </c>
      <c r="E120" s="90">
        <v>139.37355407721697</v>
      </c>
      <c r="F120" s="90">
        <f>INDEX('Revised 2020 Lockdown'!H$5:H$254,MATCH(B120,'Revised 2020 Lockdown'!B$5:B$254,0))</f>
        <v>139.37355407721697</v>
      </c>
      <c r="G120" s="90">
        <f t="shared" si="10"/>
        <v>0</v>
      </c>
      <c r="H120" s="5">
        <v>133216.54999999999</v>
      </c>
      <c r="I120" s="5">
        <f>INDEX('Revised 2020 Lockdown'!E$5:E$254,MATCH(B120,'Revised 2020 Lockdown'!B$5:B$254,0))</f>
        <v>133216.54999999999</v>
      </c>
      <c r="J120" s="5">
        <f t="shared" si="11"/>
        <v>0</v>
      </c>
      <c r="K120" s="5">
        <v>0</v>
      </c>
      <c r="L120" s="5">
        <f>INDEX('Revised 2020 Lockdown'!F$5:F$254,MATCH(B120,'Revised 2020 Lockdown'!B$5:B$254,0))</f>
        <v>0</v>
      </c>
      <c r="M120" s="5">
        <f t="shared" si="12"/>
        <v>0</v>
      </c>
      <c r="N120" s="5">
        <f t="shared" si="9"/>
        <v>133216.54999999999</v>
      </c>
      <c r="O120" s="60">
        <f>INDEX('Revised 2020 Lockdown'!G$5:G$254,MATCH(B120,'Revised 2020 Lockdown'!B$5:B$254,0))</f>
        <v>133216.54999999999</v>
      </c>
      <c r="P120" s="5">
        <f t="shared" si="13"/>
        <v>0</v>
      </c>
      <c r="Q120" s="58">
        <f t="shared" si="14"/>
        <v>955.82372769366407</v>
      </c>
      <c r="R120" s="96">
        <f t="shared" si="15"/>
        <v>64129.421069221426</v>
      </c>
      <c r="T120" s="96">
        <v>64238.913423400816</v>
      </c>
      <c r="U120" s="5">
        <f t="shared" si="16"/>
        <v>-109.49235417939053</v>
      </c>
    </row>
    <row r="121" spans="2:21" x14ac:dyDescent="0.35">
      <c r="B121">
        <v>989</v>
      </c>
      <c r="C121" s="17">
        <v>6</v>
      </c>
      <c r="D121" s="22" t="s">
        <v>128</v>
      </c>
      <c r="E121" s="90">
        <v>122.45296824942317</v>
      </c>
      <c r="F121" s="90">
        <f>INDEX('Revised 2020 Lockdown'!H$5:H$254,MATCH(B121,'Revised 2020 Lockdown'!B$5:B$254,0))</f>
        <v>122.45296824942317</v>
      </c>
      <c r="G121" s="90">
        <f t="shared" si="10"/>
        <v>0</v>
      </c>
      <c r="H121" s="5">
        <v>196742.79</v>
      </c>
      <c r="I121" s="5">
        <f>INDEX('Revised 2020 Lockdown'!E$5:E$254,MATCH(B121,'Revised 2020 Lockdown'!B$5:B$254,0))</f>
        <v>181368.27</v>
      </c>
      <c r="J121" s="5">
        <f t="shared" si="11"/>
        <v>-15374.520000000019</v>
      </c>
      <c r="K121" s="5">
        <v>6553.83</v>
      </c>
      <c r="L121" s="5">
        <f>INDEX('Revised 2020 Lockdown'!F$5:F$254,MATCH(B121,'Revised 2020 Lockdown'!B$5:B$254,0))</f>
        <v>6553.83</v>
      </c>
      <c r="M121" s="5">
        <f t="shared" si="12"/>
        <v>0</v>
      </c>
      <c r="N121" s="5">
        <f t="shared" si="9"/>
        <v>190188.96000000002</v>
      </c>
      <c r="O121" s="60">
        <f>INDEX('Revised 2020 Lockdown'!G$5:G$254,MATCH(B121,'Revised 2020 Lockdown'!B$5:B$254,0))</f>
        <v>174814.44</v>
      </c>
      <c r="P121" s="5">
        <f t="shared" si="13"/>
        <v>-15374.520000000019</v>
      </c>
      <c r="Q121" s="58">
        <f t="shared" si="14"/>
        <v>1427.6047571498823</v>
      </c>
      <c r="R121" s="96">
        <f t="shared" si="15"/>
        <v>84154.324907379341</v>
      </c>
      <c r="T121" s="96">
        <v>91711.819106009294</v>
      </c>
      <c r="U121" s="5">
        <f t="shared" si="16"/>
        <v>-7557.4941986299527</v>
      </c>
    </row>
    <row r="122" spans="2:21" x14ac:dyDescent="0.35">
      <c r="B122">
        <v>39</v>
      </c>
      <c r="C122" s="17">
        <v>7</v>
      </c>
      <c r="D122" s="22" t="s">
        <v>129</v>
      </c>
      <c r="E122" s="90">
        <v>278.90708471167227</v>
      </c>
      <c r="F122" s="90">
        <f>INDEX('Revised 2020 Lockdown'!H$5:H$254,MATCH(B122,'Revised 2020 Lockdown'!B$5:B$254,0))</f>
        <v>278.90708471167227</v>
      </c>
      <c r="G122" s="90">
        <f t="shared" si="10"/>
        <v>0</v>
      </c>
      <c r="H122" s="5">
        <v>134974.64000000001</v>
      </c>
      <c r="I122" s="5">
        <f>INDEX('Revised 2020 Lockdown'!E$5:E$254,MATCH(B122,'Revised 2020 Lockdown'!B$5:B$254,0))</f>
        <v>129547.19</v>
      </c>
      <c r="J122" s="5">
        <f t="shared" si="11"/>
        <v>-5427.4500000000116</v>
      </c>
      <c r="K122" s="5">
        <v>2125.6799999999998</v>
      </c>
      <c r="L122" s="5">
        <f>INDEX('Revised 2020 Lockdown'!F$5:F$254,MATCH(B122,'Revised 2020 Lockdown'!B$5:B$254,0))</f>
        <v>2125.6799999999998</v>
      </c>
      <c r="M122" s="5">
        <f t="shared" si="12"/>
        <v>0</v>
      </c>
      <c r="N122" s="5">
        <f t="shared" si="9"/>
        <v>132848.96000000002</v>
      </c>
      <c r="O122" s="60">
        <f>INDEX('Revised 2020 Lockdown'!G$5:G$254,MATCH(B122,'Revised 2020 Lockdown'!B$5:B$254,0))</f>
        <v>127421.51000000001</v>
      </c>
      <c r="P122" s="5">
        <f t="shared" si="13"/>
        <v>-5427.4500000000116</v>
      </c>
      <c r="Q122" s="58">
        <f t="shared" si="14"/>
        <v>456.8600691220355</v>
      </c>
      <c r="R122" s="96">
        <f t="shared" si="15"/>
        <v>61339.733449530177</v>
      </c>
      <c r="T122" s="96">
        <v>64061.656301929754</v>
      </c>
      <c r="U122" s="5">
        <f t="shared" si="16"/>
        <v>-2721.9228523995771</v>
      </c>
    </row>
    <row r="123" spans="2:21" x14ac:dyDescent="0.35">
      <c r="B123">
        <v>59</v>
      </c>
      <c r="C123" s="17">
        <v>7</v>
      </c>
      <c r="D123" s="22" t="s">
        <v>130</v>
      </c>
      <c r="E123" s="90">
        <v>239.48070840653955</v>
      </c>
      <c r="F123" s="90">
        <f>INDEX('Revised 2020 Lockdown'!H$5:H$254,MATCH(B123,'Revised 2020 Lockdown'!B$5:B$254,0))</f>
        <v>239.48070840653955</v>
      </c>
      <c r="G123" s="90">
        <f t="shared" si="10"/>
        <v>0</v>
      </c>
      <c r="H123" s="5">
        <v>184266.4</v>
      </c>
      <c r="I123" s="5">
        <f>INDEX('Revised 2020 Lockdown'!E$5:E$254,MATCH(B123,'Revised 2020 Lockdown'!B$5:B$254,0))</f>
        <v>184266.4</v>
      </c>
      <c r="J123" s="5">
        <f t="shared" si="11"/>
        <v>0</v>
      </c>
      <c r="K123" s="5">
        <v>0</v>
      </c>
      <c r="L123" s="5">
        <f>INDEX('Revised 2020 Lockdown'!F$5:F$254,MATCH(B123,'Revised 2020 Lockdown'!B$5:B$254,0))</f>
        <v>0</v>
      </c>
      <c r="M123" s="5">
        <f t="shared" si="12"/>
        <v>0</v>
      </c>
      <c r="N123" s="5">
        <f t="shared" si="9"/>
        <v>184266.4</v>
      </c>
      <c r="O123" s="60">
        <f>INDEX('Revised 2020 Lockdown'!G$5:G$254,MATCH(B123,'Revised 2020 Lockdown'!B$5:B$254,0))</f>
        <v>184266.4</v>
      </c>
      <c r="P123" s="5">
        <f t="shared" si="13"/>
        <v>0</v>
      </c>
      <c r="Q123" s="58">
        <f t="shared" si="14"/>
        <v>769.44151880155448</v>
      </c>
      <c r="R123" s="96">
        <f t="shared" si="15"/>
        <v>88704.425647636002</v>
      </c>
      <c r="T123" s="96">
        <v>88855.876514154923</v>
      </c>
      <c r="U123" s="5">
        <f t="shared" si="16"/>
        <v>-151.45086651892052</v>
      </c>
    </row>
    <row r="124" spans="2:21" x14ac:dyDescent="0.35">
      <c r="B124">
        <v>128</v>
      </c>
      <c r="C124" s="17">
        <v>7</v>
      </c>
      <c r="D124" s="22" t="s">
        <v>131</v>
      </c>
      <c r="E124" s="90">
        <v>130.72434272489517</v>
      </c>
      <c r="F124" s="90">
        <f>INDEX('Revised 2020 Lockdown'!H$5:H$254,MATCH(B124,'Revised 2020 Lockdown'!B$5:B$254,0))</f>
        <v>130.72434272489517</v>
      </c>
      <c r="G124" s="90">
        <f t="shared" si="10"/>
        <v>0</v>
      </c>
      <c r="H124" s="5">
        <v>117552.35</v>
      </c>
      <c r="I124" s="5">
        <f>INDEX('Revised 2020 Lockdown'!E$5:E$254,MATCH(B124,'Revised 2020 Lockdown'!B$5:B$254,0))</f>
        <v>117552.35</v>
      </c>
      <c r="J124" s="5">
        <f t="shared" si="11"/>
        <v>0</v>
      </c>
      <c r="K124" s="5">
        <v>305.25</v>
      </c>
      <c r="L124" s="5">
        <f>INDEX('Revised 2020 Lockdown'!F$5:F$254,MATCH(B124,'Revised 2020 Lockdown'!B$5:B$254,0))</f>
        <v>305.25</v>
      </c>
      <c r="M124" s="5">
        <f t="shared" si="12"/>
        <v>0</v>
      </c>
      <c r="N124" s="5">
        <f t="shared" si="9"/>
        <v>117247.1</v>
      </c>
      <c r="O124" s="60">
        <f>INDEX('Revised 2020 Lockdown'!G$5:G$254,MATCH(B124,'Revised 2020 Lockdown'!B$5:B$254,0))</f>
        <v>117247.1</v>
      </c>
      <c r="P124" s="5">
        <f t="shared" si="13"/>
        <v>0</v>
      </c>
      <c r="Q124" s="58">
        <f t="shared" si="14"/>
        <v>896.90334298901348</v>
      </c>
      <c r="R124" s="96">
        <f t="shared" si="15"/>
        <v>56441.850843946282</v>
      </c>
      <c r="T124" s="96">
        <v>56538.217706770054</v>
      </c>
      <c r="U124" s="5">
        <f t="shared" si="16"/>
        <v>-96.366862823771953</v>
      </c>
    </row>
    <row r="125" spans="2:21" x14ac:dyDescent="0.35">
      <c r="B125">
        <v>152</v>
      </c>
      <c r="C125" s="17">
        <v>7</v>
      </c>
      <c r="D125" s="22" t="s">
        <v>132</v>
      </c>
      <c r="E125" s="90">
        <v>346.05477418044865</v>
      </c>
      <c r="F125" s="90">
        <f>INDEX('Revised 2020 Lockdown'!H$5:H$254,MATCH(B125,'Revised 2020 Lockdown'!B$5:B$254,0))</f>
        <v>346.05477418044865</v>
      </c>
      <c r="G125" s="90">
        <f t="shared" si="10"/>
        <v>0</v>
      </c>
      <c r="H125" s="5">
        <v>181493.75</v>
      </c>
      <c r="I125" s="5">
        <f>INDEX('Revised 2020 Lockdown'!E$5:E$254,MATCH(B125,'Revised 2020 Lockdown'!B$5:B$254,0))</f>
        <v>181493.75</v>
      </c>
      <c r="J125" s="5">
        <f t="shared" si="11"/>
        <v>0</v>
      </c>
      <c r="K125" s="5">
        <v>0</v>
      </c>
      <c r="L125" s="5">
        <f>INDEX('Revised 2020 Lockdown'!F$5:F$254,MATCH(B125,'Revised 2020 Lockdown'!B$5:B$254,0))</f>
        <v>0</v>
      </c>
      <c r="M125" s="5">
        <f t="shared" si="12"/>
        <v>0</v>
      </c>
      <c r="N125" s="5">
        <f t="shared" si="9"/>
        <v>181493.75</v>
      </c>
      <c r="O125" s="60">
        <f>INDEX('Revised 2020 Lockdown'!G$5:G$254,MATCH(B125,'Revised 2020 Lockdown'!B$5:B$254,0))</f>
        <v>181493.75</v>
      </c>
      <c r="P125" s="5">
        <f t="shared" si="13"/>
        <v>0</v>
      </c>
      <c r="Q125" s="58">
        <f t="shared" si="14"/>
        <v>524.46538392607442</v>
      </c>
      <c r="R125" s="96">
        <f t="shared" si="15"/>
        <v>87369.693293978911</v>
      </c>
      <c r="T125" s="96">
        <v>87518.865284668849</v>
      </c>
      <c r="U125" s="5">
        <f t="shared" si="16"/>
        <v>-149.17199068993796</v>
      </c>
    </row>
    <row r="126" spans="2:21" x14ac:dyDescent="0.35">
      <c r="B126">
        <v>162</v>
      </c>
      <c r="C126" s="17">
        <v>7</v>
      </c>
      <c r="D126" s="22" t="s">
        <v>133</v>
      </c>
      <c r="E126" s="90">
        <v>1228.55</v>
      </c>
      <c r="F126" s="90">
        <f>INDEX('Revised 2020 Lockdown'!H$5:H$254,MATCH(B126,'Revised 2020 Lockdown'!B$5:B$254,0))</f>
        <v>1228.55</v>
      </c>
      <c r="G126" s="90">
        <f t="shared" si="10"/>
        <v>0</v>
      </c>
      <c r="H126" s="5">
        <v>530581.69999999995</v>
      </c>
      <c r="I126" s="5">
        <f>INDEX('Revised 2020 Lockdown'!E$5:E$254,MATCH(B126,'Revised 2020 Lockdown'!B$5:B$254,0))</f>
        <v>537402.57999999996</v>
      </c>
      <c r="J126" s="5">
        <f t="shared" si="11"/>
        <v>6820.8800000000047</v>
      </c>
      <c r="K126" s="5">
        <v>25872.33</v>
      </c>
      <c r="L126" s="5">
        <f>INDEX('Revised 2020 Lockdown'!F$5:F$254,MATCH(B126,'Revised 2020 Lockdown'!B$5:B$254,0))</f>
        <v>25872.33</v>
      </c>
      <c r="M126" s="5">
        <f t="shared" si="12"/>
        <v>0</v>
      </c>
      <c r="N126" s="5">
        <f t="shared" si="9"/>
        <v>504709.36999999994</v>
      </c>
      <c r="O126" s="60">
        <f>INDEX('Revised 2020 Lockdown'!G$5:G$254,MATCH(B126,'Revised 2020 Lockdown'!B$5:B$254,0))</f>
        <v>511530.24999999994</v>
      </c>
      <c r="P126" s="5">
        <f t="shared" si="13"/>
        <v>6820.8800000000047</v>
      </c>
      <c r="Q126" s="58">
        <f t="shared" si="14"/>
        <v>416.36909364698221</v>
      </c>
      <c r="R126" s="96">
        <f t="shared" si="15"/>
        <v>246246.72228708895</v>
      </c>
      <c r="T126" s="96">
        <v>243378.03015773316</v>
      </c>
      <c r="U126" s="5">
        <f t="shared" si="16"/>
        <v>2868.6921293557971</v>
      </c>
    </row>
    <row r="127" spans="2:21" x14ac:dyDescent="0.35">
      <c r="B127">
        <v>166</v>
      </c>
      <c r="C127" s="17">
        <v>7</v>
      </c>
      <c r="D127" s="22" t="s">
        <v>134</v>
      </c>
      <c r="E127" s="90">
        <v>836.58679999999993</v>
      </c>
      <c r="F127" s="90">
        <f>INDEX('Revised 2020 Lockdown'!H$5:H$254,MATCH(B127,'Revised 2020 Lockdown'!B$5:B$254,0))</f>
        <v>838.03719999999998</v>
      </c>
      <c r="G127" s="90">
        <f t="shared" si="10"/>
        <v>1.4504000000000588</v>
      </c>
      <c r="H127" s="5">
        <v>504997.16</v>
      </c>
      <c r="I127" s="5">
        <f>INDEX('Revised 2020 Lockdown'!E$5:E$254,MATCH(B127,'Revised 2020 Lockdown'!B$5:B$254,0))</f>
        <v>507400.93</v>
      </c>
      <c r="J127" s="5">
        <f t="shared" si="11"/>
        <v>2403.7700000000186</v>
      </c>
      <c r="K127" s="5">
        <v>66467.06</v>
      </c>
      <c r="L127" s="5">
        <f>INDEX('Revised 2020 Lockdown'!F$5:F$254,MATCH(B127,'Revised 2020 Lockdown'!B$5:B$254,0))</f>
        <v>66582.950000000012</v>
      </c>
      <c r="M127" s="5">
        <f t="shared" si="12"/>
        <v>115.89000000001397</v>
      </c>
      <c r="N127" s="5">
        <f t="shared" si="9"/>
        <v>438530.1</v>
      </c>
      <c r="O127" s="60">
        <f>INDEX('Revised 2020 Lockdown'!G$5:G$254,MATCH(B127,'Revised 2020 Lockdown'!B$5:B$254,0))</f>
        <v>440817.98</v>
      </c>
      <c r="P127" s="5">
        <f t="shared" si="13"/>
        <v>2287.8800000000047</v>
      </c>
      <c r="Q127" s="58">
        <f t="shared" si="14"/>
        <v>526.01242522408313</v>
      </c>
      <c r="R127" s="96">
        <f t="shared" si="15"/>
        <v>212206.38017050907</v>
      </c>
      <c r="T127" s="96">
        <v>211465.44575321386</v>
      </c>
      <c r="U127" s="5">
        <f t="shared" si="16"/>
        <v>740.93441729521146</v>
      </c>
    </row>
    <row r="128" spans="2:21" x14ac:dyDescent="0.35">
      <c r="B128">
        <v>192</v>
      </c>
      <c r="C128" s="17">
        <v>7</v>
      </c>
      <c r="D128" s="22" t="s">
        <v>135</v>
      </c>
      <c r="E128" s="90">
        <v>233.99</v>
      </c>
      <c r="F128" s="90">
        <f>INDEX('Revised 2020 Lockdown'!H$5:H$254,MATCH(B128,'Revised 2020 Lockdown'!B$5:B$254,0))</f>
        <v>233.99</v>
      </c>
      <c r="G128" s="90">
        <f t="shared" si="10"/>
        <v>0</v>
      </c>
      <c r="H128" s="5">
        <v>166918.9</v>
      </c>
      <c r="I128" s="5">
        <f>INDEX('Revised 2020 Lockdown'!E$5:E$254,MATCH(B128,'Revised 2020 Lockdown'!B$5:B$254,0))</f>
        <v>166918.9</v>
      </c>
      <c r="J128" s="5">
        <f t="shared" si="11"/>
        <v>0</v>
      </c>
      <c r="K128" s="5">
        <v>18483.46</v>
      </c>
      <c r="L128" s="5">
        <f>INDEX('Revised 2020 Lockdown'!F$5:F$254,MATCH(B128,'Revised 2020 Lockdown'!B$5:B$254,0))</f>
        <v>18483.46</v>
      </c>
      <c r="M128" s="5">
        <f t="shared" si="12"/>
        <v>0</v>
      </c>
      <c r="N128" s="5">
        <f t="shared" si="9"/>
        <v>148435.44</v>
      </c>
      <c r="O128" s="60">
        <f>INDEX('Revised 2020 Lockdown'!G$5:G$254,MATCH(B128,'Revised 2020 Lockdown'!B$5:B$254,0))</f>
        <v>148435.44</v>
      </c>
      <c r="P128" s="5">
        <f t="shared" si="13"/>
        <v>0</v>
      </c>
      <c r="Q128" s="58">
        <f t="shared" si="14"/>
        <v>634.36659686311384</v>
      </c>
      <c r="R128" s="96">
        <f t="shared" si="15"/>
        <v>71455.677491686685</v>
      </c>
      <c r="T128" s="96">
        <v>71577.678442538905</v>
      </c>
      <c r="U128" s="5">
        <f t="shared" si="16"/>
        <v>-122.00095085221983</v>
      </c>
    </row>
    <row r="129" spans="2:21" x14ac:dyDescent="0.35">
      <c r="B129">
        <v>205</v>
      </c>
      <c r="C129" s="17">
        <v>7</v>
      </c>
      <c r="D129" s="22" t="s">
        <v>136</v>
      </c>
      <c r="E129" s="90">
        <v>524.57570883633412</v>
      </c>
      <c r="F129" s="90">
        <f>INDEX('Revised 2020 Lockdown'!H$5:H$254,MATCH(B129,'Revised 2020 Lockdown'!B$5:B$254,0))</f>
        <v>524.57570883633412</v>
      </c>
      <c r="G129" s="90">
        <f t="shared" si="10"/>
        <v>0</v>
      </c>
      <c r="H129" s="5">
        <v>468614.34</v>
      </c>
      <c r="I129" s="5">
        <f>INDEX('Revised 2020 Lockdown'!E$5:E$254,MATCH(B129,'Revised 2020 Lockdown'!B$5:B$254,0))</f>
        <v>463208.48</v>
      </c>
      <c r="J129" s="5">
        <f t="shared" si="11"/>
        <v>-5405.8600000000442</v>
      </c>
      <c r="K129" s="5">
        <v>0</v>
      </c>
      <c r="L129" s="5">
        <f>INDEX('Revised 2020 Lockdown'!F$5:F$254,MATCH(B129,'Revised 2020 Lockdown'!B$5:B$254,0))</f>
        <v>0</v>
      </c>
      <c r="M129" s="5">
        <f t="shared" si="12"/>
        <v>0</v>
      </c>
      <c r="N129" s="5">
        <f t="shared" si="9"/>
        <v>468614.34</v>
      </c>
      <c r="O129" s="60">
        <f>INDEX('Revised 2020 Lockdown'!G$5:G$254,MATCH(B129,'Revised 2020 Lockdown'!B$5:B$254,0))</f>
        <v>463208.48</v>
      </c>
      <c r="P129" s="5">
        <f t="shared" si="13"/>
        <v>-5405.8600000000442</v>
      </c>
      <c r="Q129" s="58">
        <f t="shared" si="14"/>
        <v>883.01549651914877</v>
      </c>
      <c r="R129" s="96">
        <f t="shared" si="15"/>
        <v>222984.99440763204</v>
      </c>
      <c r="T129" s="96">
        <v>225972.49377967016</v>
      </c>
      <c r="U129" s="5">
        <f t="shared" si="16"/>
        <v>-2987.4993720381171</v>
      </c>
    </row>
    <row r="130" spans="2:21" x14ac:dyDescent="0.35">
      <c r="B130">
        <v>212</v>
      </c>
      <c r="C130" s="17">
        <v>7</v>
      </c>
      <c r="D130" s="22" t="s">
        <v>137</v>
      </c>
      <c r="E130" s="90">
        <v>475.16909844194475</v>
      </c>
      <c r="F130" s="90">
        <f>INDEX('Revised 2020 Lockdown'!H$5:H$254,MATCH(B130,'Revised 2020 Lockdown'!B$5:B$254,0))</f>
        <v>475.16909844194475</v>
      </c>
      <c r="G130" s="90">
        <f t="shared" si="10"/>
        <v>0</v>
      </c>
      <c r="H130" s="5">
        <v>272134.62</v>
      </c>
      <c r="I130" s="5">
        <f>INDEX('Revised 2020 Lockdown'!E$5:E$254,MATCH(B130,'Revised 2020 Lockdown'!B$5:B$254,0))</f>
        <v>272134.62</v>
      </c>
      <c r="J130" s="5">
        <f t="shared" si="11"/>
        <v>0</v>
      </c>
      <c r="K130" s="5">
        <v>699</v>
      </c>
      <c r="L130" s="5">
        <f>INDEX('Revised 2020 Lockdown'!F$5:F$254,MATCH(B130,'Revised 2020 Lockdown'!B$5:B$254,0))</f>
        <v>699</v>
      </c>
      <c r="M130" s="5">
        <f t="shared" si="12"/>
        <v>0</v>
      </c>
      <c r="N130" s="5">
        <f t="shared" si="9"/>
        <v>271435.62</v>
      </c>
      <c r="O130" s="60">
        <f>INDEX('Revised 2020 Lockdown'!G$5:G$254,MATCH(B130,'Revised 2020 Lockdown'!B$5:B$254,0))</f>
        <v>271435.62</v>
      </c>
      <c r="P130" s="5">
        <f t="shared" si="13"/>
        <v>0</v>
      </c>
      <c r="Q130" s="58">
        <f t="shared" si="14"/>
        <v>571.24005094191432</v>
      </c>
      <c r="R130" s="96">
        <f t="shared" si="15"/>
        <v>130667.01673452121</v>
      </c>
      <c r="T130" s="96">
        <v>130890.1130768446</v>
      </c>
      <c r="U130" s="5">
        <f t="shared" si="16"/>
        <v>-223.09634232339158</v>
      </c>
    </row>
    <row r="131" spans="2:21" x14ac:dyDescent="0.35">
      <c r="B131">
        <v>216</v>
      </c>
      <c r="C131" s="17">
        <v>7</v>
      </c>
      <c r="D131" s="22" t="s">
        <v>138</v>
      </c>
      <c r="E131" s="90">
        <v>929.2004782208769</v>
      </c>
      <c r="F131" s="90">
        <f>INDEX('Revised 2020 Lockdown'!H$5:H$254,MATCH(B131,'Revised 2020 Lockdown'!B$5:B$254,0))</f>
        <v>929.2004782208769</v>
      </c>
      <c r="G131" s="90">
        <f t="shared" si="10"/>
        <v>0</v>
      </c>
      <c r="H131" s="5">
        <v>361803.18</v>
      </c>
      <c r="I131" s="5">
        <f>INDEX('Revised 2020 Lockdown'!E$5:E$254,MATCH(B131,'Revised 2020 Lockdown'!B$5:B$254,0))</f>
        <v>361803.18</v>
      </c>
      <c r="J131" s="5">
        <f t="shared" si="11"/>
        <v>0</v>
      </c>
      <c r="K131" s="5">
        <v>475</v>
      </c>
      <c r="L131" s="5">
        <f>INDEX('Revised 2020 Lockdown'!F$5:F$254,MATCH(B131,'Revised 2020 Lockdown'!B$5:B$254,0))</f>
        <v>475</v>
      </c>
      <c r="M131" s="5">
        <f t="shared" si="12"/>
        <v>0</v>
      </c>
      <c r="N131" s="5">
        <f t="shared" si="9"/>
        <v>361328.18</v>
      </c>
      <c r="O131" s="60">
        <f>INDEX('Revised 2020 Lockdown'!G$5:G$254,MATCH(B131,'Revised 2020 Lockdown'!B$5:B$254,0))</f>
        <v>361328.18</v>
      </c>
      <c r="P131" s="5">
        <f t="shared" si="13"/>
        <v>0</v>
      </c>
      <c r="Q131" s="58">
        <f t="shared" si="14"/>
        <v>388.85922733469579</v>
      </c>
      <c r="R131" s="96">
        <f t="shared" si="15"/>
        <v>173940.6027208739</v>
      </c>
      <c r="T131" s="96">
        <v>174237.58288632295</v>
      </c>
      <c r="U131" s="5">
        <f t="shared" si="16"/>
        <v>-296.9801654490584</v>
      </c>
    </row>
    <row r="132" spans="2:21" x14ac:dyDescent="0.35">
      <c r="B132">
        <v>229</v>
      </c>
      <c r="C132" s="17">
        <v>7</v>
      </c>
      <c r="D132" s="22" t="s">
        <v>139</v>
      </c>
      <c r="E132" s="90">
        <v>854.67000000000007</v>
      </c>
      <c r="F132" s="90">
        <f>INDEX('Revised 2020 Lockdown'!H$5:H$254,MATCH(B132,'Revised 2020 Lockdown'!B$5:B$254,0))</f>
        <v>854.67000000000007</v>
      </c>
      <c r="G132" s="90">
        <f t="shared" si="10"/>
        <v>0</v>
      </c>
      <c r="H132" s="5">
        <v>452494.41</v>
      </c>
      <c r="I132" s="5">
        <f>INDEX('Revised 2020 Lockdown'!E$5:E$254,MATCH(B132,'Revised 2020 Lockdown'!B$5:B$254,0))</f>
        <v>452494.41</v>
      </c>
      <c r="J132" s="5">
        <f t="shared" si="11"/>
        <v>0</v>
      </c>
      <c r="K132" s="5">
        <v>63559.890000000007</v>
      </c>
      <c r="L132" s="5">
        <f>INDEX('Revised 2020 Lockdown'!F$5:F$254,MATCH(B132,'Revised 2020 Lockdown'!B$5:B$254,0))</f>
        <v>67802.040000000023</v>
      </c>
      <c r="M132" s="5">
        <f t="shared" si="12"/>
        <v>4242.150000000016</v>
      </c>
      <c r="N132" s="5">
        <f t="shared" si="9"/>
        <v>388934.51999999996</v>
      </c>
      <c r="O132" s="60">
        <f>INDEX('Revised 2020 Lockdown'!G$5:G$254,MATCH(B132,'Revised 2020 Lockdown'!B$5:B$254,0))</f>
        <v>384692.36999999994</v>
      </c>
      <c r="P132" s="5">
        <f t="shared" si="13"/>
        <v>-4242.1500000000233</v>
      </c>
      <c r="Q132" s="58">
        <f t="shared" si="14"/>
        <v>450.10632173821466</v>
      </c>
      <c r="R132" s="96">
        <f t="shared" si="15"/>
        <v>185187.9438241474</v>
      </c>
      <c r="T132" s="96">
        <v>187549.75232170441</v>
      </c>
      <c r="U132" s="5">
        <f t="shared" si="16"/>
        <v>-2361.8084975570091</v>
      </c>
    </row>
    <row r="133" spans="2:21" x14ac:dyDescent="0.35">
      <c r="B133">
        <v>236</v>
      </c>
      <c r="C133" s="17">
        <v>7</v>
      </c>
      <c r="D133" s="22" t="s">
        <v>140</v>
      </c>
      <c r="E133" s="90">
        <v>1136.2899999999997</v>
      </c>
      <c r="F133" s="90">
        <f>INDEX('Revised 2020 Lockdown'!H$5:H$254,MATCH(B133,'Revised 2020 Lockdown'!B$5:B$254,0))</f>
        <v>1136.2899999999997</v>
      </c>
      <c r="G133" s="90">
        <f t="shared" si="10"/>
        <v>0</v>
      </c>
      <c r="H133" s="5">
        <v>683938.6</v>
      </c>
      <c r="I133" s="5">
        <f>INDEX('Revised 2020 Lockdown'!E$5:E$254,MATCH(B133,'Revised 2020 Lockdown'!B$5:B$254,0))</f>
        <v>683938.6</v>
      </c>
      <c r="J133" s="5">
        <f t="shared" si="11"/>
        <v>0</v>
      </c>
      <c r="K133" s="5">
        <v>123459.02</v>
      </c>
      <c r="L133" s="5">
        <f>INDEX('Revised 2020 Lockdown'!F$5:F$254,MATCH(B133,'Revised 2020 Lockdown'!B$5:B$254,0))</f>
        <v>123459.02</v>
      </c>
      <c r="M133" s="5">
        <f t="shared" si="12"/>
        <v>0</v>
      </c>
      <c r="N133" s="5">
        <f t="shared" si="9"/>
        <v>560479.57999999996</v>
      </c>
      <c r="O133" s="60">
        <f>INDEX('Revised 2020 Lockdown'!G$5:G$254,MATCH(B133,'Revised 2020 Lockdown'!B$5:B$254,0))</f>
        <v>560479.57999999996</v>
      </c>
      <c r="P133" s="5">
        <f t="shared" si="13"/>
        <v>0</v>
      </c>
      <c r="Q133" s="58">
        <f t="shared" si="14"/>
        <v>493.25399325876327</v>
      </c>
      <c r="R133" s="96">
        <f t="shared" si="15"/>
        <v>269810.55271676363</v>
      </c>
      <c r="T133" s="96">
        <v>270271.21791702346</v>
      </c>
      <c r="U133" s="5">
        <f t="shared" si="16"/>
        <v>-460.66520025982754</v>
      </c>
    </row>
    <row r="134" spans="2:21" x14ac:dyDescent="0.35">
      <c r="B134">
        <v>238</v>
      </c>
      <c r="C134" s="17">
        <v>7</v>
      </c>
      <c r="D134" s="22" t="s">
        <v>141</v>
      </c>
      <c r="E134" s="90">
        <v>46.657726140452539</v>
      </c>
      <c r="F134" s="90">
        <f>INDEX('Revised 2020 Lockdown'!H$5:H$254,MATCH(B134,'Revised 2020 Lockdown'!B$5:B$254,0))</f>
        <v>46.657726140452539</v>
      </c>
      <c r="G134" s="90">
        <f t="shared" si="10"/>
        <v>0</v>
      </c>
      <c r="H134" s="5">
        <v>23555.94</v>
      </c>
      <c r="I134" s="5">
        <f>INDEX('Revised 2020 Lockdown'!E$5:E$254,MATCH(B134,'Revised 2020 Lockdown'!B$5:B$254,0))</f>
        <v>23555.94</v>
      </c>
      <c r="J134" s="5">
        <f t="shared" si="11"/>
        <v>0</v>
      </c>
      <c r="K134" s="5">
        <v>0</v>
      </c>
      <c r="L134" s="5">
        <f>INDEX('Revised 2020 Lockdown'!F$5:F$254,MATCH(B134,'Revised 2020 Lockdown'!B$5:B$254,0))</f>
        <v>0</v>
      </c>
      <c r="M134" s="5">
        <f t="shared" si="12"/>
        <v>0</v>
      </c>
      <c r="N134" s="5">
        <f t="shared" si="9"/>
        <v>23555.94</v>
      </c>
      <c r="O134" s="60">
        <f>INDEX('Revised 2020 Lockdown'!G$5:G$254,MATCH(B134,'Revised 2020 Lockdown'!B$5:B$254,0))</f>
        <v>23555.94</v>
      </c>
      <c r="P134" s="5">
        <f t="shared" si="13"/>
        <v>0</v>
      </c>
      <c r="Q134" s="58">
        <f t="shared" si="14"/>
        <v>504.86686661690641</v>
      </c>
      <c r="R134" s="96">
        <f t="shared" si="15"/>
        <v>11339.648076318714</v>
      </c>
      <c r="T134" s="96">
        <v>11359.008999008187</v>
      </c>
      <c r="U134" s="5">
        <f t="shared" si="16"/>
        <v>-19.360922689473227</v>
      </c>
    </row>
    <row r="135" spans="2:21" x14ac:dyDescent="0.35">
      <c r="B135">
        <v>239</v>
      </c>
      <c r="C135" s="17">
        <v>7</v>
      </c>
      <c r="D135" s="22" t="s">
        <v>142</v>
      </c>
      <c r="E135" s="90">
        <v>3041.54</v>
      </c>
      <c r="F135" s="90">
        <f>INDEX('Revised 2020 Lockdown'!H$5:H$254,MATCH(B135,'Revised 2020 Lockdown'!B$5:B$254,0))</f>
        <v>3041.54</v>
      </c>
      <c r="G135" s="90">
        <f t="shared" si="10"/>
        <v>0</v>
      </c>
      <c r="H135" s="5">
        <v>1896919.1</v>
      </c>
      <c r="I135" s="5">
        <f>INDEX('Revised 2020 Lockdown'!E$5:E$254,MATCH(B135,'Revised 2020 Lockdown'!B$5:B$254,0))</f>
        <v>1901248.91</v>
      </c>
      <c r="J135" s="5">
        <f t="shared" si="11"/>
        <v>4329.809999999823</v>
      </c>
      <c r="K135" s="5">
        <v>294548.64</v>
      </c>
      <c r="L135" s="5">
        <f>INDEX('Revised 2020 Lockdown'!F$5:F$254,MATCH(B135,'Revised 2020 Lockdown'!B$5:B$254,0))</f>
        <v>294548.64</v>
      </c>
      <c r="M135" s="5">
        <f t="shared" si="12"/>
        <v>0</v>
      </c>
      <c r="N135" s="5">
        <f t="shared" si="9"/>
        <v>1602370.46</v>
      </c>
      <c r="O135" s="60">
        <f>INDEX('Revised 2020 Lockdown'!G$5:G$254,MATCH(B135,'Revised 2020 Lockdown'!B$5:B$254,0))</f>
        <v>1606700.27</v>
      </c>
      <c r="P135" s="5">
        <f t="shared" si="13"/>
        <v>4329.8100000000559</v>
      </c>
      <c r="Q135" s="58">
        <f t="shared" si="14"/>
        <v>528.25222420221337</v>
      </c>
      <c r="R135" s="96">
        <f t="shared" si="15"/>
        <v>773453.13436552556</v>
      </c>
      <c r="T135" s="96">
        <v>772685.80557111662</v>
      </c>
      <c r="U135" s="5">
        <f t="shared" si="16"/>
        <v>767.32879440893885</v>
      </c>
    </row>
    <row r="136" spans="2:21" x14ac:dyDescent="0.35">
      <c r="B136">
        <v>249</v>
      </c>
      <c r="C136" s="17">
        <v>7</v>
      </c>
      <c r="D136" s="22" t="s">
        <v>143</v>
      </c>
      <c r="E136" s="90">
        <v>1163.0819162110436</v>
      </c>
      <c r="F136" s="90">
        <f>INDEX('Revised 2020 Lockdown'!H$5:H$254,MATCH(B136,'Revised 2020 Lockdown'!B$5:B$254,0))</f>
        <v>1163.0819162110436</v>
      </c>
      <c r="G136" s="90">
        <f t="shared" si="10"/>
        <v>0</v>
      </c>
      <c r="H136" s="5">
        <v>811899.34</v>
      </c>
      <c r="I136" s="5">
        <f>INDEX('Revised 2020 Lockdown'!E$5:E$254,MATCH(B136,'Revised 2020 Lockdown'!B$5:B$254,0))</f>
        <v>811899.34</v>
      </c>
      <c r="J136" s="5">
        <f t="shared" si="11"/>
        <v>0</v>
      </c>
      <c r="K136" s="5">
        <v>0</v>
      </c>
      <c r="L136" s="5">
        <f>INDEX('Revised 2020 Lockdown'!F$5:F$254,MATCH(B136,'Revised 2020 Lockdown'!B$5:B$254,0))</f>
        <v>0</v>
      </c>
      <c r="M136" s="5">
        <f t="shared" si="12"/>
        <v>0</v>
      </c>
      <c r="N136" s="5">
        <f t="shared" si="9"/>
        <v>811899.34</v>
      </c>
      <c r="O136" s="60">
        <f>INDEX('Revised 2020 Lockdown'!G$5:G$254,MATCH(B136,'Revised 2020 Lockdown'!B$5:B$254,0))</f>
        <v>811899.34</v>
      </c>
      <c r="P136" s="5">
        <f t="shared" si="13"/>
        <v>0</v>
      </c>
      <c r="Q136" s="58">
        <f t="shared" si="14"/>
        <v>698.05860505931832</v>
      </c>
      <c r="R136" s="96">
        <f t="shared" si="15"/>
        <v>390842.0886194919</v>
      </c>
      <c r="T136" s="96">
        <v>391509.39887556212</v>
      </c>
      <c r="U136" s="5">
        <f t="shared" si="16"/>
        <v>-667.31025607022457</v>
      </c>
    </row>
    <row r="137" spans="2:21" x14ac:dyDescent="0.35">
      <c r="B137">
        <v>271</v>
      </c>
      <c r="C137" s="17">
        <v>7</v>
      </c>
      <c r="D137" s="22" t="s">
        <v>144</v>
      </c>
      <c r="E137" s="90">
        <v>841.90000000000009</v>
      </c>
      <c r="F137" s="90">
        <f>INDEX('Revised 2020 Lockdown'!H$5:H$254,MATCH(B137,'Revised 2020 Lockdown'!B$5:B$254,0))</f>
        <v>841.90000000000009</v>
      </c>
      <c r="G137" s="90">
        <f t="shared" si="10"/>
        <v>0</v>
      </c>
      <c r="H137" s="5">
        <v>928558.99</v>
      </c>
      <c r="I137" s="5">
        <f>INDEX('Revised 2020 Lockdown'!E$5:E$254,MATCH(B137,'Revised 2020 Lockdown'!B$5:B$254,0))</f>
        <v>915776.78</v>
      </c>
      <c r="J137" s="5">
        <f t="shared" si="11"/>
        <v>-12782.209999999963</v>
      </c>
      <c r="K137" s="5">
        <v>186887.22999999998</v>
      </c>
      <c r="L137" s="5">
        <f>INDEX('Revised 2020 Lockdown'!F$5:F$254,MATCH(B137,'Revised 2020 Lockdown'!B$5:B$254,0))</f>
        <v>186887.22999999998</v>
      </c>
      <c r="M137" s="5">
        <f t="shared" si="12"/>
        <v>0</v>
      </c>
      <c r="N137" s="5">
        <f t="shared" si="9"/>
        <v>741671.76</v>
      </c>
      <c r="O137" s="60">
        <f>INDEX('Revised 2020 Lockdown'!G$5:G$254,MATCH(B137,'Revised 2020 Lockdown'!B$5:B$254,0))</f>
        <v>728889.55</v>
      </c>
      <c r="P137" s="5">
        <f t="shared" si="13"/>
        <v>-12782.209999999963</v>
      </c>
      <c r="Q137" s="58">
        <f t="shared" si="14"/>
        <v>865.76737142178399</v>
      </c>
      <c r="R137" s="96">
        <f t="shared" si="15"/>
        <v>350881.8150965877</v>
      </c>
      <c r="T137" s="96">
        <v>357644.66186236852</v>
      </c>
      <c r="U137" s="5">
        <f t="shared" si="16"/>
        <v>-6762.8467657808214</v>
      </c>
    </row>
    <row r="138" spans="2:21" x14ac:dyDescent="0.35">
      <c r="B138">
        <v>275</v>
      </c>
      <c r="C138" s="17">
        <v>7</v>
      </c>
      <c r="D138" s="22" t="s">
        <v>145</v>
      </c>
      <c r="E138" s="90">
        <v>692.28</v>
      </c>
      <c r="F138" s="90">
        <f>INDEX('Revised 2020 Lockdown'!H$5:H$254,MATCH(B138,'Revised 2020 Lockdown'!B$5:B$254,0))</f>
        <v>692.28</v>
      </c>
      <c r="G138" s="90">
        <f t="shared" si="10"/>
        <v>0</v>
      </c>
      <c r="H138" s="5">
        <v>469715.12</v>
      </c>
      <c r="I138" s="5">
        <f>INDEX('Revised 2020 Lockdown'!E$5:E$254,MATCH(B138,'Revised 2020 Lockdown'!B$5:B$254,0))</f>
        <v>469715.12</v>
      </c>
      <c r="J138" s="5">
        <f t="shared" si="11"/>
        <v>0</v>
      </c>
      <c r="K138" s="5">
        <v>81956.409999999989</v>
      </c>
      <c r="L138" s="5">
        <f>INDEX('Revised 2020 Lockdown'!F$5:F$254,MATCH(B138,'Revised 2020 Lockdown'!B$5:B$254,0))</f>
        <v>81956.409999999989</v>
      </c>
      <c r="M138" s="5">
        <f t="shared" si="12"/>
        <v>0</v>
      </c>
      <c r="N138" s="5">
        <f t="shared" si="9"/>
        <v>387758.71</v>
      </c>
      <c r="O138" s="60">
        <f>INDEX('Revised 2020 Lockdown'!G$5:G$254,MATCH(B138,'Revised 2020 Lockdown'!B$5:B$254,0))</f>
        <v>387758.71</v>
      </c>
      <c r="P138" s="5">
        <f t="shared" si="13"/>
        <v>0</v>
      </c>
      <c r="Q138" s="58">
        <f t="shared" si="14"/>
        <v>560.11831917721156</v>
      </c>
      <c r="R138" s="96">
        <f t="shared" si="15"/>
        <v>186664.05628165661</v>
      </c>
      <c r="T138" s="96">
        <v>186982.76003138939</v>
      </c>
      <c r="U138" s="5">
        <f t="shared" si="16"/>
        <v>-318.70374973278376</v>
      </c>
    </row>
    <row r="139" spans="2:21" x14ac:dyDescent="0.35">
      <c r="B139">
        <v>282</v>
      </c>
      <c r="C139" s="17">
        <v>7</v>
      </c>
      <c r="D139" s="22" t="s">
        <v>146</v>
      </c>
      <c r="E139" s="90">
        <v>125.62564520141217</v>
      </c>
      <c r="F139" s="90">
        <f>INDEX('Revised 2020 Lockdown'!H$5:H$254,MATCH(B139,'Revised 2020 Lockdown'!B$5:B$254,0))</f>
        <v>125.62564520141217</v>
      </c>
      <c r="G139" s="90">
        <f t="shared" si="10"/>
        <v>0</v>
      </c>
      <c r="H139" s="5">
        <v>65689.240000000005</v>
      </c>
      <c r="I139" s="5">
        <f>INDEX('Revised 2020 Lockdown'!E$5:E$254,MATCH(B139,'Revised 2020 Lockdown'!B$5:B$254,0))</f>
        <v>65689.240000000005</v>
      </c>
      <c r="J139" s="5">
        <f t="shared" si="11"/>
        <v>0</v>
      </c>
      <c r="K139" s="5">
        <v>0</v>
      </c>
      <c r="L139" s="5">
        <f>INDEX('Revised 2020 Lockdown'!F$5:F$254,MATCH(B139,'Revised 2020 Lockdown'!B$5:B$254,0))</f>
        <v>0</v>
      </c>
      <c r="M139" s="5">
        <f t="shared" si="12"/>
        <v>0</v>
      </c>
      <c r="N139" s="5">
        <f t="shared" si="9"/>
        <v>65689.240000000005</v>
      </c>
      <c r="O139" s="60">
        <f>INDEX('Revised 2020 Lockdown'!G$5:G$254,MATCH(B139,'Revised 2020 Lockdown'!B$5:B$254,0))</f>
        <v>65689.240000000005</v>
      </c>
      <c r="P139" s="5">
        <f t="shared" si="13"/>
        <v>0</v>
      </c>
      <c r="Q139" s="58">
        <f t="shared" si="14"/>
        <v>522.89673732367498</v>
      </c>
      <c r="R139" s="96">
        <f t="shared" si="15"/>
        <v>31622.294164479888</v>
      </c>
      <c r="T139" s="96">
        <v>31676.284975170114</v>
      </c>
      <c r="U139" s="5">
        <f t="shared" si="16"/>
        <v>-53.990810690225771</v>
      </c>
    </row>
    <row r="140" spans="2:21" x14ac:dyDescent="0.35">
      <c r="B140">
        <v>287</v>
      </c>
      <c r="C140" s="17">
        <v>7</v>
      </c>
      <c r="D140" s="22" t="s">
        <v>147</v>
      </c>
      <c r="E140" s="90">
        <v>152.73047186443509</v>
      </c>
      <c r="F140" s="90">
        <f>INDEX('Revised 2020 Lockdown'!H$5:H$254,MATCH(B140,'Revised 2020 Lockdown'!B$5:B$254,0))</f>
        <v>152.73047186443509</v>
      </c>
      <c r="G140" s="90">
        <f t="shared" si="10"/>
        <v>0</v>
      </c>
      <c r="H140" s="5">
        <v>115146.34</v>
      </c>
      <c r="I140" s="5">
        <f>INDEX('Revised 2020 Lockdown'!E$5:E$254,MATCH(B140,'Revised 2020 Lockdown'!B$5:B$254,0))</f>
        <v>115146.34</v>
      </c>
      <c r="J140" s="5">
        <f t="shared" si="11"/>
        <v>0</v>
      </c>
      <c r="K140" s="5">
        <v>102</v>
      </c>
      <c r="L140" s="5">
        <f>INDEX('Revised 2020 Lockdown'!F$5:F$254,MATCH(B140,'Revised 2020 Lockdown'!B$5:B$254,0))</f>
        <v>102</v>
      </c>
      <c r="M140" s="5">
        <f t="shared" si="12"/>
        <v>0</v>
      </c>
      <c r="N140" s="5">
        <f t="shared" si="9"/>
        <v>115044.34</v>
      </c>
      <c r="O140" s="60">
        <f>INDEX('Revised 2020 Lockdown'!G$5:G$254,MATCH(B140,'Revised 2020 Lockdown'!B$5:B$254,0))</f>
        <v>115044.34</v>
      </c>
      <c r="P140" s="5">
        <f t="shared" si="13"/>
        <v>0</v>
      </c>
      <c r="Q140" s="58">
        <f t="shared" si="14"/>
        <v>753.2507337639496</v>
      </c>
      <c r="R140" s="96">
        <f t="shared" si="15"/>
        <v>55381.459146710178</v>
      </c>
      <c r="T140" s="96">
        <v>55476.015533447513</v>
      </c>
      <c r="U140" s="5">
        <f t="shared" si="16"/>
        <v>-94.556386737334833</v>
      </c>
    </row>
    <row r="141" spans="2:21" x14ac:dyDescent="0.35">
      <c r="B141">
        <v>290</v>
      </c>
      <c r="C141" s="17">
        <v>7</v>
      </c>
      <c r="D141" s="22" t="s">
        <v>148</v>
      </c>
      <c r="E141" s="90">
        <v>320.95069482223562</v>
      </c>
      <c r="F141" s="90">
        <f>INDEX('Revised 2020 Lockdown'!H$5:H$254,MATCH(B141,'Revised 2020 Lockdown'!B$5:B$254,0))</f>
        <v>320.95069482223562</v>
      </c>
      <c r="G141" s="90">
        <f t="shared" si="10"/>
        <v>0</v>
      </c>
      <c r="H141" s="5">
        <v>241596.62</v>
      </c>
      <c r="I141" s="5">
        <f>INDEX('Revised 2020 Lockdown'!E$5:E$254,MATCH(B141,'Revised 2020 Lockdown'!B$5:B$254,0))</f>
        <v>241368.83</v>
      </c>
      <c r="J141" s="5">
        <f t="shared" si="11"/>
        <v>-227.79000000000815</v>
      </c>
      <c r="K141" s="5">
        <v>19503.5</v>
      </c>
      <c r="L141" s="5">
        <f>INDEX('Revised 2020 Lockdown'!F$5:F$254,MATCH(B141,'Revised 2020 Lockdown'!B$5:B$254,0))</f>
        <v>19503.5</v>
      </c>
      <c r="M141" s="5">
        <f t="shared" si="12"/>
        <v>0</v>
      </c>
      <c r="N141" s="5">
        <f t="shared" si="9"/>
        <v>222093.12</v>
      </c>
      <c r="O141" s="60">
        <f>INDEX('Revised 2020 Lockdown'!G$5:G$254,MATCH(B141,'Revised 2020 Lockdown'!B$5:B$254,0))</f>
        <v>221865.33</v>
      </c>
      <c r="P141" s="5">
        <f t="shared" si="13"/>
        <v>-227.79000000000815</v>
      </c>
      <c r="Q141" s="58">
        <f t="shared" si="14"/>
        <v>691.27543133341442</v>
      </c>
      <c r="R141" s="96">
        <f t="shared" si="15"/>
        <v>106804.26094379238</v>
      </c>
      <c r="T141" s="96">
        <v>107096.45841761379</v>
      </c>
      <c r="U141" s="5">
        <f t="shared" si="16"/>
        <v>-292.19747382140486</v>
      </c>
    </row>
    <row r="142" spans="2:21" x14ac:dyDescent="0.35">
      <c r="B142">
        <v>294</v>
      </c>
      <c r="C142" s="17">
        <v>7</v>
      </c>
      <c r="D142" s="22" t="s">
        <v>149</v>
      </c>
      <c r="E142" s="90">
        <v>1096.2002031679949</v>
      </c>
      <c r="F142" s="90">
        <f>INDEX('Revised 2020 Lockdown'!H$5:H$254,MATCH(B142,'Revised 2020 Lockdown'!B$5:B$254,0))</f>
        <v>1096.2002031679949</v>
      </c>
      <c r="G142" s="90">
        <f t="shared" si="10"/>
        <v>0</v>
      </c>
      <c r="H142" s="5">
        <v>656278.9</v>
      </c>
      <c r="I142" s="5">
        <f>INDEX('Revised 2020 Lockdown'!E$5:E$254,MATCH(B142,'Revised 2020 Lockdown'!B$5:B$254,0))</f>
        <v>656278.9</v>
      </c>
      <c r="J142" s="5">
        <f t="shared" si="11"/>
        <v>0</v>
      </c>
      <c r="K142" s="5">
        <v>746</v>
      </c>
      <c r="L142" s="5">
        <f>INDEX('Revised 2020 Lockdown'!F$5:F$254,MATCH(B142,'Revised 2020 Lockdown'!B$5:B$254,0))</f>
        <v>746</v>
      </c>
      <c r="M142" s="5">
        <f t="shared" si="12"/>
        <v>0</v>
      </c>
      <c r="N142" s="5">
        <f t="shared" si="9"/>
        <v>655532.9</v>
      </c>
      <c r="O142" s="60">
        <f>INDEX('Revised 2020 Lockdown'!G$5:G$254,MATCH(B142,'Revised 2020 Lockdown'!B$5:B$254,0))</f>
        <v>655532.9</v>
      </c>
      <c r="P142" s="5">
        <f t="shared" si="13"/>
        <v>0</v>
      </c>
      <c r="Q142" s="58">
        <f t="shared" si="14"/>
        <v>598.00472405088419</v>
      </c>
      <c r="R142" s="96">
        <f t="shared" si="15"/>
        <v>315568.4888163507</v>
      </c>
      <c r="T142" s="96">
        <v>316107.27953314257</v>
      </c>
      <c r="U142" s="5">
        <f t="shared" si="16"/>
        <v>-538.79071679187473</v>
      </c>
    </row>
    <row r="143" spans="2:21" x14ac:dyDescent="0.35">
      <c r="B143">
        <v>296</v>
      </c>
      <c r="C143" s="17">
        <v>7</v>
      </c>
      <c r="D143" s="22" t="s">
        <v>150</v>
      </c>
      <c r="E143" s="90">
        <v>801.5</v>
      </c>
      <c r="F143" s="90">
        <f>INDEX('Revised 2020 Lockdown'!H$5:H$254,MATCH(B143,'Revised 2020 Lockdown'!B$5:B$254,0))</f>
        <v>801.5</v>
      </c>
      <c r="G143" s="90">
        <f t="shared" si="10"/>
        <v>0</v>
      </c>
      <c r="H143" s="5">
        <v>899174.32</v>
      </c>
      <c r="I143" s="5">
        <f>INDEX('Revised 2020 Lockdown'!E$5:E$254,MATCH(B143,'Revised 2020 Lockdown'!B$5:B$254,0))</f>
        <v>899174.32</v>
      </c>
      <c r="J143" s="5">
        <f t="shared" si="11"/>
        <v>0</v>
      </c>
      <c r="K143" s="5">
        <v>122809.44</v>
      </c>
      <c r="L143" s="5">
        <f>INDEX('Revised 2020 Lockdown'!F$5:F$254,MATCH(B143,'Revised 2020 Lockdown'!B$5:B$254,0))</f>
        <v>122809.44</v>
      </c>
      <c r="M143" s="5">
        <f t="shared" si="12"/>
        <v>0</v>
      </c>
      <c r="N143" s="5">
        <f t="shared" si="9"/>
        <v>776364.87999999989</v>
      </c>
      <c r="O143" s="60">
        <f>INDEX('Revised 2020 Lockdown'!G$5:G$254,MATCH(B143,'Revised 2020 Lockdown'!B$5:B$254,0))</f>
        <v>776364.87999999989</v>
      </c>
      <c r="P143" s="5">
        <f t="shared" si="13"/>
        <v>0</v>
      </c>
      <c r="Q143" s="58">
        <f t="shared" si="14"/>
        <v>968.63990018714901</v>
      </c>
      <c r="R143" s="96">
        <f t="shared" si="15"/>
        <v>373736.07327975059</v>
      </c>
      <c r="T143" s="96">
        <v>374374.17731722491</v>
      </c>
      <c r="U143" s="5">
        <f t="shared" si="16"/>
        <v>-638.10403747431701</v>
      </c>
    </row>
    <row r="144" spans="2:21" x14ac:dyDescent="0.35">
      <c r="B144">
        <v>301</v>
      </c>
      <c r="C144" s="17">
        <v>7</v>
      </c>
      <c r="D144" s="22" t="s">
        <v>151</v>
      </c>
      <c r="E144" s="90">
        <v>622.0088866393462</v>
      </c>
      <c r="F144" s="90">
        <f>INDEX('Revised 2020 Lockdown'!H$5:H$254,MATCH(B144,'Revised 2020 Lockdown'!B$5:B$254,0))</f>
        <v>622.0088866393462</v>
      </c>
      <c r="G144" s="90">
        <f t="shared" si="10"/>
        <v>0</v>
      </c>
      <c r="H144" s="5">
        <v>491037.6</v>
      </c>
      <c r="I144" s="5">
        <f>INDEX('Revised 2020 Lockdown'!E$5:E$254,MATCH(B144,'Revised 2020 Lockdown'!B$5:B$254,0))</f>
        <v>491037.6</v>
      </c>
      <c r="J144" s="5">
        <f t="shared" si="11"/>
        <v>0</v>
      </c>
      <c r="K144" s="5">
        <v>37594.660000000003</v>
      </c>
      <c r="L144" s="5">
        <f>INDEX('Revised 2020 Lockdown'!F$5:F$254,MATCH(B144,'Revised 2020 Lockdown'!B$5:B$254,0))</f>
        <v>37594.660000000003</v>
      </c>
      <c r="M144" s="5">
        <f t="shared" si="12"/>
        <v>0</v>
      </c>
      <c r="N144" s="5">
        <f t="shared" si="9"/>
        <v>453442.93999999994</v>
      </c>
      <c r="O144" s="60">
        <f>INDEX('Revised 2020 Lockdown'!G$5:G$254,MATCH(B144,'Revised 2020 Lockdown'!B$5:B$254,0))</f>
        <v>453442.93999999994</v>
      </c>
      <c r="P144" s="5">
        <f t="shared" si="13"/>
        <v>0</v>
      </c>
      <c r="Q144" s="58">
        <f t="shared" si="14"/>
        <v>728.99752678761274</v>
      </c>
      <c r="R144" s="96">
        <f t="shared" si="15"/>
        <v>218283.938670726</v>
      </c>
      <c r="T144" s="96">
        <v>218656.62911336712</v>
      </c>
      <c r="U144" s="5">
        <f t="shared" si="16"/>
        <v>-372.69044264112017</v>
      </c>
    </row>
    <row r="145" spans="2:21" x14ac:dyDescent="0.35">
      <c r="B145">
        <v>321</v>
      </c>
      <c r="C145" s="17">
        <v>7</v>
      </c>
      <c r="D145" s="22" t="s">
        <v>152</v>
      </c>
      <c r="E145" s="90">
        <v>735.59</v>
      </c>
      <c r="F145" s="90">
        <f>INDEX('Revised 2020 Lockdown'!H$5:H$254,MATCH(B145,'Revised 2020 Lockdown'!B$5:B$254,0))</f>
        <v>735.59</v>
      </c>
      <c r="G145" s="90">
        <f t="shared" si="10"/>
        <v>0</v>
      </c>
      <c r="H145" s="5">
        <v>453466.55</v>
      </c>
      <c r="I145" s="5">
        <f>INDEX('Revised 2020 Lockdown'!E$5:E$254,MATCH(B145,'Revised 2020 Lockdown'!B$5:B$254,0))</f>
        <v>453466.55</v>
      </c>
      <c r="J145" s="5">
        <f t="shared" si="11"/>
        <v>0</v>
      </c>
      <c r="K145" s="5">
        <v>20867.23</v>
      </c>
      <c r="L145" s="5">
        <f>INDEX('Revised 2020 Lockdown'!F$5:F$254,MATCH(B145,'Revised 2020 Lockdown'!B$5:B$254,0))</f>
        <v>20867.23</v>
      </c>
      <c r="M145" s="5">
        <f t="shared" si="12"/>
        <v>0</v>
      </c>
      <c r="N145" s="5">
        <f t="shared" si="9"/>
        <v>432599.32</v>
      </c>
      <c r="O145" s="60">
        <f>INDEX('Revised 2020 Lockdown'!G$5:G$254,MATCH(B145,'Revised 2020 Lockdown'!B$5:B$254,0))</f>
        <v>432599.32</v>
      </c>
      <c r="P145" s="5">
        <f t="shared" si="13"/>
        <v>0</v>
      </c>
      <c r="Q145" s="58">
        <f t="shared" si="14"/>
        <v>588.09842439402382</v>
      </c>
      <c r="R145" s="96">
        <f t="shared" si="15"/>
        <v>208249.98055075636</v>
      </c>
      <c r="T145" s="96">
        <v>208605.53936055291</v>
      </c>
      <c r="U145" s="5">
        <f t="shared" si="16"/>
        <v>-355.55880979655194</v>
      </c>
    </row>
    <row r="146" spans="2:21" x14ac:dyDescent="0.35">
      <c r="B146">
        <v>325</v>
      </c>
      <c r="C146" s="17">
        <v>7</v>
      </c>
      <c r="D146" s="22" t="s">
        <v>153</v>
      </c>
      <c r="E146" s="90">
        <v>385.2456057985475</v>
      </c>
      <c r="F146" s="90">
        <f>INDEX('Revised 2020 Lockdown'!H$5:H$254,MATCH(B146,'Revised 2020 Lockdown'!B$5:B$254,0))</f>
        <v>385.2456057985475</v>
      </c>
      <c r="G146" s="90">
        <f t="shared" si="10"/>
        <v>0</v>
      </c>
      <c r="H146" s="5">
        <v>321114.27</v>
      </c>
      <c r="I146" s="5">
        <f>INDEX('Revised 2020 Lockdown'!E$5:E$254,MATCH(B146,'Revised 2020 Lockdown'!B$5:B$254,0))</f>
        <v>321114.27</v>
      </c>
      <c r="J146" s="5">
        <f t="shared" si="11"/>
        <v>0</v>
      </c>
      <c r="K146" s="5">
        <v>420</v>
      </c>
      <c r="L146" s="5">
        <f>INDEX('Revised 2020 Lockdown'!F$5:F$254,MATCH(B146,'Revised 2020 Lockdown'!B$5:B$254,0))</f>
        <v>420</v>
      </c>
      <c r="M146" s="5">
        <f t="shared" si="12"/>
        <v>0</v>
      </c>
      <c r="N146" s="5">
        <f t="shared" si="9"/>
        <v>320694.27</v>
      </c>
      <c r="O146" s="60">
        <f>INDEX('Revised 2020 Lockdown'!G$5:G$254,MATCH(B146,'Revised 2020 Lockdown'!B$5:B$254,0))</f>
        <v>320694.27</v>
      </c>
      <c r="P146" s="5">
        <f t="shared" si="13"/>
        <v>0</v>
      </c>
      <c r="Q146" s="58">
        <f t="shared" si="14"/>
        <v>832.44108478604517</v>
      </c>
      <c r="R146" s="96">
        <f t="shared" si="15"/>
        <v>154379.75142965786</v>
      </c>
      <c r="T146" s="96">
        <v>154643.33407456303</v>
      </c>
      <c r="U146" s="5">
        <f t="shared" si="16"/>
        <v>-263.5826449051674</v>
      </c>
    </row>
    <row r="147" spans="2:21" x14ac:dyDescent="0.35">
      <c r="B147">
        <v>346</v>
      </c>
      <c r="C147" s="17">
        <v>7</v>
      </c>
      <c r="D147" s="22" t="s">
        <v>154</v>
      </c>
      <c r="E147" s="90">
        <v>227.74</v>
      </c>
      <c r="F147" s="90">
        <f>INDEX('Revised 2020 Lockdown'!H$5:H$254,MATCH(B147,'Revised 2020 Lockdown'!B$5:B$254,0))</f>
        <v>227.74</v>
      </c>
      <c r="G147" s="90">
        <f t="shared" si="10"/>
        <v>0</v>
      </c>
      <c r="H147" s="5">
        <v>184009.64</v>
      </c>
      <c r="I147" s="5">
        <f>INDEX('Revised 2020 Lockdown'!E$5:E$254,MATCH(B147,'Revised 2020 Lockdown'!B$5:B$254,0))</f>
        <v>184009.64</v>
      </c>
      <c r="J147" s="5">
        <f t="shared" si="11"/>
        <v>0</v>
      </c>
      <c r="K147" s="5">
        <v>17890.460000000003</v>
      </c>
      <c r="L147" s="5">
        <f>INDEX('Revised 2020 Lockdown'!F$5:F$254,MATCH(B147,'Revised 2020 Lockdown'!B$5:B$254,0))</f>
        <v>17890.460000000003</v>
      </c>
      <c r="M147" s="5">
        <f t="shared" si="12"/>
        <v>0</v>
      </c>
      <c r="N147" s="5">
        <f t="shared" si="9"/>
        <v>166119.18000000002</v>
      </c>
      <c r="O147" s="60">
        <f>INDEX('Revised 2020 Lockdown'!G$5:G$254,MATCH(B147,'Revised 2020 Lockdown'!B$5:B$254,0))</f>
        <v>166119.18000000002</v>
      </c>
      <c r="P147" s="5">
        <f t="shared" si="13"/>
        <v>0</v>
      </c>
      <c r="Q147" s="58">
        <f t="shared" si="14"/>
        <v>729.42469482743491</v>
      </c>
      <c r="R147" s="96">
        <f t="shared" si="15"/>
        <v>79968.49371863922</v>
      </c>
      <c r="T147" s="96">
        <v>80105.029157310695</v>
      </c>
      <c r="U147" s="5">
        <f t="shared" si="16"/>
        <v>-136.53543867147528</v>
      </c>
    </row>
    <row r="148" spans="2:21" x14ac:dyDescent="0.35">
      <c r="B148">
        <v>358</v>
      </c>
      <c r="C148" s="17">
        <v>7</v>
      </c>
      <c r="D148" s="22" t="s">
        <v>155</v>
      </c>
      <c r="E148" s="90">
        <v>329.13</v>
      </c>
      <c r="F148" s="90">
        <f>INDEX('Revised 2020 Lockdown'!H$5:H$254,MATCH(B148,'Revised 2020 Lockdown'!B$5:B$254,0))</f>
        <v>329.13</v>
      </c>
      <c r="G148" s="90">
        <f t="shared" si="10"/>
        <v>0</v>
      </c>
      <c r="H148" s="5">
        <v>252248.3</v>
      </c>
      <c r="I148" s="5">
        <f>INDEX('Revised 2020 Lockdown'!E$5:E$254,MATCH(B148,'Revised 2020 Lockdown'!B$5:B$254,0))</f>
        <v>252248.3</v>
      </c>
      <c r="J148" s="5">
        <f t="shared" si="11"/>
        <v>0</v>
      </c>
      <c r="K148" s="5">
        <v>25760.270000000004</v>
      </c>
      <c r="L148" s="5">
        <f>INDEX('Revised 2020 Lockdown'!F$5:F$254,MATCH(B148,'Revised 2020 Lockdown'!B$5:B$254,0))</f>
        <v>25760.270000000004</v>
      </c>
      <c r="M148" s="5">
        <f t="shared" si="12"/>
        <v>0</v>
      </c>
      <c r="N148" s="5">
        <f t="shared" ref="N148:N211" si="17">H148-K148</f>
        <v>226488.02999999997</v>
      </c>
      <c r="O148" s="60">
        <f>INDEX('Revised 2020 Lockdown'!G$5:G$254,MATCH(B148,'Revised 2020 Lockdown'!B$5:B$254,0))</f>
        <v>226488.02999999997</v>
      </c>
      <c r="P148" s="5">
        <f t="shared" si="13"/>
        <v>0</v>
      </c>
      <c r="Q148" s="58">
        <f t="shared" si="14"/>
        <v>688.14155500865911</v>
      </c>
      <c r="R148" s="96">
        <f t="shared" si="15"/>
        <v>109029.59311743513</v>
      </c>
      <c r="T148" s="96">
        <v>109215.74647149026</v>
      </c>
      <c r="U148" s="5">
        <f t="shared" si="16"/>
        <v>-186.15335405513179</v>
      </c>
    </row>
    <row r="149" spans="2:21" x14ac:dyDescent="0.35">
      <c r="B149">
        <v>361</v>
      </c>
      <c r="C149" s="17">
        <v>7</v>
      </c>
      <c r="D149" s="22" t="s">
        <v>156</v>
      </c>
      <c r="E149" s="90">
        <v>1661.2809709614248</v>
      </c>
      <c r="F149" s="90">
        <f>INDEX('Revised 2020 Lockdown'!H$5:H$254,MATCH(B149,'Revised 2020 Lockdown'!B$5:B$254,0))</f>
        <v>1661.2809709614248</v>
      </c>
      <c r="G149" s="90">
        <f t="shared" ref="G149:G212" si="18">F149-E149</f>
        <v>0</v>
      </c>
      <c r="H149" s="5">
        <v>1053513.96</v>
      </c>
      <c r="I149" s="5">
        <f>INDEX('Revised 2020 Lockdown'!E$5:E$254,MATCH(B149,'Revised 2020 Lockdown'!B$5:B$254,0))</f>
        <v>1053513.96</v>
      </c>
      <c r="J149" s="5">
        <f t="shared" ref="J149:J212" si="19">I149-H149</f>
        <v>0</v>
      </c>
      <c r="K149" s="5">
        <v>9561.06</v>
      </c>
      <c r="L149" s="5">
        <f>INDEX('Revised 2020 Lockdown'!F$5:F$254,MATCH(B149,'Revised 2020 Lockdown'!B$5:B$254,0))</f>
        <v>9561.06</v>
      </c>
      <c r="M149" s="5">
        <f t="shared" ref="M149:M212" si="20">L149-K149</f>
        <v>0</v>
      </c>
      <c r="N149" s="5">
        <f t="shared" si="17"/>
        <v>1043952.8999999999</v>
      </c>
      <c r="O149" s="60">
        <f>INDEX('Revised 2020 Lockdown'!G$5:G$254,MATCH(B149,'Revised 2020 Lockdown'!B$5:B$254,0))</f>
        <v>1043952.8999999999</v>
      </c>
      <c r="P149" s="5">
        <f t="shared" ref="P149:P212" si="21">O149-N149</f>
        <v>0</v>
      </c>
      <c r="Q149" s="58">
        <f t="shared" ref="Q149:Q212" si="22">IFERROR(O149/F149,"n.a.")</f>
        <v>628.4023703683539</v>
      </c>
      <c r="R149" s="96">
        <f t="shared" ref="R149:R212" si="23">O149*(E$12/O$18)</f>
        <v>502550.88501041953</v>
      </c>
      <c r="T149" s="96">
        <v>503408.92299949372</v>
      </c>
      <c r="U149" s="5">
        <f t="shared" ref="U149:U212" si="24">R149-T149</f>
        <v>-858.03798907418968</v>
      </c>
    </row>
    <row r="150" spans="2:21" x14ac:dyDescent="0.35">
      <c r="B150">
        <v>376</v>
      </c>
      <c r="C150" s="17">
        <v>7</v>
      </c>
      <c r="D150" s="22" t="s">
        <v>157</v>
      </c>
      <c r="E150" s="90">
        <v>730.1929708766545</v>
      </c>
      <c r="F150" s="90">
        <f>INDEX('Revised 2020 Lockdown'!H$5:H$254,MATCH(B150,'Revised 2020 Lockdown'!B$5:B$254,0))</f>
        <v>730.1929708766545</v>
      </c>
      <c r="G150" s="90">
        <f t="shared" si="18"/>
        <v>0</v>
      </c>
      <c r="H150" s="5">
        <v>404075.88</v>
      </c>
      <c r="I150" s="5">
        <f>INDEX('Revised 2020 Lockdown'!E$5:E$254,MATCH(B150,'Revised 2020 Lockdown'!B$5:B$254,0))</f>
        <v>404075.88</v>
      </c>
      <c r="J150" s="5">
        <f t="shared" si="19"/>
        <v>0</v>
      </c>
      <c r="K150" s="5">
        <v>240</v>
      </c>
      <c r="L150" s="5">
        <f>INDEX('Revised 2020 Lockdown'!F$5:F$254,MATCH(B150,'Revised 2020 Lockdown'!B$5:B$254,0))</f>
        <v>240</v>
      </c>
      <c r="M150" s="5">
        <f t="shared" si="20"/>
        <v>0</v>
      </c>
      <c r="N150" s="5">
        <f t="shared" si="17"/>
        <v>403835.88</v>
      </c>
      <c r="O150" s="60">
        <f>INDEX('Revised 2020 Lockdown'!G$5:G$254,MATCH(B150,'Revised 2020 Lockdown'!B$5:B$254,0))</f>
        <v>403835.88</v>
      </c>
      <c r="P150" s="5">
        <f t="shared" si="21"/>
        <v>0</v>
      </c>
      <c r="Q150" s="58">
        <f t="shared" si="22"/>
        <v>553.05363938954804</v>
      </c>
      <c r="R150" s="96">
        <f t="shared" si="23"/>
        <v>194403.48208521822</v>
      </c>
      <c r="T150" s="96">
        <v>194735.39986272639</v>
      </c>
      <c r="U150" s="5">
        <f t="shared" si="24"/>
        <v>-331.9177775081771</v>
      </c>
    </row>
    <row r="151" spans="2:21" x14ac:dyDescent="0.35">
      <c r="B151">
        <v>382</v>
      </c>
      <c r="C151" s="17">
        <v>7</v>
      </c>
      <c r="D151" s="22" t="s">
        <v>158</v>
      </c>
      <c r="E151" s="90">
        <v>221.7</v>
      </c>
      <c r="F151" s="90">
        <f>INDEX('Revised 2020 Lockdown'!H$5:H$254,MATCH(B151,'Revised 2020 Lockdown'!B$5:B$254,0))</f>
        <v>221.7</v>
      </c>
      <c r="G151" s="90">
        <f t="shared" si="18"/>
        <v>0</v>
      </c>
      <c r="H151" s="5">
        <v>117105.77</v>
      </c>
      <c r="I151" s="5">
        <f>INDEX('Revised 2020 Lockdown'!E$5:E$254,MATCH(B151,'Revised 2020 Lockdown'!B$5:B$254,0))</f>
        <v>117105.77</v>
      </c>
      <c r="J151" s="5">
        <f t="shared" si="19"/>
        <v>0</v>
      </c>
      <c r="K151" s="5">
        <v>17625.36</v>
      </c>
      <c r="L151" s="5">
        <f>INDEX('Revised 2020 Lockdown'!F$5:F$254,MATCH(B151,'Revised 2020 Lockdown'!B$5:B$254,0))</f>
        <v>17625.36</v>
      </c>
      <c r="M151" s="5">
        <f t="shared" si="20"/>
        <v>0</v>
      </c>
      <c r="N151" s="5">
        <f t="shared" si="17"/>
        <v>99480.41</v>
      </c>
      <c r="O151" s="60">
        <f>INDEX('Revised 2020 Lockdown'!G$5:G$254,MATCH(B151,'Revised 2020 Lockdown'!B$5:B$254,0))</f>
        <v>99480.41</v>
      </c>
      <c r="P151" s="5">
        <f t="shared" si="21"/>
        <v>0</v>
      </c>
      <c r="Q151" s="58">
        <f t="shared" si="22"/>
        <v>448.71632837167346</v>
      </c>
      <c r="R151" s="96">
        <f t="shared" si="23"/>
        <v>47889.103125916306</v>
      </c>
      <c r="T151" s="96">
        <v>47970.867323274906</v>
      </c>
      <c r="U151" s="5">
        <f t="shared" si="24"/>
        <v>-81.764197358599631</v>
      </c>
    </row>
    <row r="152" spans="2:21" x14ac:dyDescent="0.35">
      <c r="B152">
        <v>389</v>
      </c>
      <c r="C152" s="17">
        <v>7</v>
      </c>
      <c r="D152" s="22" t="s">
        <v>159</v>
      </c>
      <c r="E152" s="90">
        <v>843.78442490843361</v>
      </c>
      <c r="F152" s="90">
        <f>INDEX('Revised 2020 Lockdown'!H$5:H$254,MATCH(B152,'Revised 2020 Lockdown'!B$5:B$254,0))</f>
        <v>843.78442490843361</v>
      </c>
      <c r="G152" s="90">
        <f t="shared" si="18"/>
        <v>0</v>
      </c>
      <c r="H152" s="5">
        <v>637409.41</v>
      </c>
      <c r="I152" s="5">
        <f>INDEX('Revised 2020 Lockdown'!E$5:E$254,MATCH(B152,'Revised 2020 Lockdown'!B$5:B$254,0))</f>
        <v>631839.66</v>
      </c>
      <c r="J152" s="5">
        <f t="shared" si="19"/>
        <v>-5569.75</v>
      </c>
      <c r="K152" s="5">
        <v>612</v>
      </c>
      <c r="L152" s="5">
        <f>INDEX('Revised 2020 Lockdown'!F$5:F$254,MATCH(B152,'Revised 2020 Lockdown'!B$5:B$254,0))</f>
        <v>612</v>
      </c>
      <c r="M152" s="5">
        <f t="shared" si="20"/>
        <v>0</v>
      </c>
      <c r="N152" s="5">
        <f t="shared" si="17"/>
        <v>636797.41</v>
      </c>
      <c r="O152" s="60">
        <f>INDEX('Revised 2020 Lockdown'!G$5:G$254,MATCH(B152,'Revised 2020 Lockdown'!B$5:B$254,0))</f>
        <v>631227.66</v>
      </c>
      <c r="P152" s="5">
        <f t="shared" si="21"/>
        <v>-5569.75</v>
      </c>
      <c r="Q152" s="58">
        <f t="shared" si="22"/>
        <v>748.09114907341416</v>
      </c>
      <c r="R152" s="96">
        <f t="shared" si="23"/>
        <v>303868.13349151693</v>
      </c>
      <c r="T152" s="96">
        <v>307072.7600229542</v>
      </c>
      <c r="U152" s="5">
        <f t="shared" si="24"/>
        <v>-3204.6265314372722</v>
      </c>
    </row>
    <row r="153" spans="2:21" x14ac:dyDescent="0.35">
      <c r="B153">
        <v>434</v>
      </c>
      <c r="C153" s="17">
        <v>7</v>
      </c>
      <c r="D153" s="22" t="s">
        <v>160</v>
      </c>
      <c r="E153" s="90">
        <v>280.52473359432912</v>
      </c>
      <c r="F153" s="90">
        <f>INDEX('Revised 2020 Lockdown'!H$5:H$254,MATCH(B153,'Revised 2020 Lockdown'!B$5:B$254,0))</f>
        <v>280.52473359432912</v>
      </c>
      <c r="G153" s="90">
        <f t="shared" si="18"/>
        <v>0</v>
      </c>
      <c r="H153" s="5">
        <v>139116.31</v>
      </c>
      <c r="I153" s="5">
        <f>INDEX('Revised 2020 Lockdown'!E$5:E$254,MATCH(B153,'Revised 2020 Lockdown'!B$5:B$254,0))</f>
        <v>139116.31</v>
      </c>
      <c r="J153" s="5">
        <f t="shared" si="19"/>
        <v>0</v>
      </c>
      <c r="K153" s="5">
        <v>0</v>
      </c>
      <c r="L153" s="5">
        <f>INDEX('Revised 2020 Lockdown'!F$5:F$254,MATCH(B153,'Revised 2020 Lockdown'!B$5:B$254,0))</f>
        <v>0</v>
      </c>
      <c r="M153" s="5">
        <f t="shared" si="20"/>
        <v>0</v>
      </c>
      <c r="N153" s="5">
        <f t="shared" si="17"/>
        <v>139116.31</v>
      </c>
      <c r="O153" s="60">
        <f>INDEX('Revised 2020 Lockdown'!G$5:G$254,MATCH(B153,'Revised 2020 Lockdown'!B$5:B$254,0))</f>
        <v>139116.31</v>
      </c>
      <c r="P153" s="5">
        <f t="shared" si="21"/>
        <v>0</v>
      </c>
      <c r="Q153" s="58">
        <f t="shared" si="22"/>
        <v>495.91459625509566</v>
      </c>
      <c r="R153" s="96">
        <f t="shared" si="23"/>
        <v>66969.520090306643</v>
      </c>
      <c r="T153" s="96">
        <v>67083.861531266113</v>
      </c>
      <c r="U153" s="5">
        <f t="shared" si="24"/>
        <v>-114.34144095946976</v>
      </c>
    </row>
    <row r="154" spans="2:21" x14ac:dyDescent="0.35">
      <c r="B154">
        <v>437</v>
      </c>
      <c r="C154" s="17">
        <v>7</v>
      </c>
      <c r="D154" s="22" t="s">
        <v>161</v>
      </c>
      <c r="E154" s="90">
        <v>361.91078539818926</v>
      </c>
      <c r="F154" s="90">
        <f>INDEX('Revised 2020 Lockdown'!H$5:H$254,MATCH(B154,'Revised 2020 Lockdown'!B$5:B$254,0))</f>
        <v>361.91078539818926</v>
      </c>
      <c r="G154" s="90">
        <f t="shared" si="18"/>
        <v>0</v>
      </c>
      <c r="H154" s="5">
        <v>249176.09</v>
      </c>
      <c r="I154" s="5">
        <f>INDEX('Revised 2020 Lockdown'!E$5:E$254,MATCH(B154,'Revised 2020 Lockdown'!B$5:B$254,0))</f>
        <v>249176.09</v>
      </c>
      <c r="J154" s="5">
        <f t="shared" si="19"/>
        <v>0</v>
      </c>
      <c r="K154" s="5">
        <v>0</v>
      </c>
      <c r="L154" s="5">
        <f>INDEX('Revised 2020 Lockdown'!F$5:F$254,MATCH(B154,'Revised 2020 Lockdown'!B$5:B$254,0))</f>
        <v>0</v>
      </c>
      <c r="M154" s="5">
        <f t="shared" si="20"/>
        <v>0</v>
      </c>
      <c r="N154" s="5">
        <f t="shared" si="17"/>
        <v>249176.09</v>
      </c>
      <c r="O154" s="60">
        <f>INDEX('Revised 2020 Lockdown'!G$5:G$254,MATCH(B154,'Revised 2020 Lockdown'!B$5:B$254,0))</f>
        <v>249176.09</v>
      </c>
      <c r="P154" s="5">
        <f t="shared" si="21"/>
        <v>0</v>
      </c>
      <c r="Q154" s="58">
        <f t="shared" si="22"/>
        <v>688.50142093954491</v>
      </c>
      <c r="R154" s="96">
        <f t="shared" si="23"/>
        <v>119951.45044660154</v>
      </c>
      <c r="T154" s="96">
        <v>120156.2514018831</v>
      </c>
      <c r="U154" s="5">
        <f t="shared" si="24"/>
        <v>-204.8009552815638</v>
      </c>
    </row>
    <row r="155" spans="2:21" x14ac:dyDescent="0.35">
      <c r="B155">
        <v>502</v>
      </c>
      <c r="C155" s="17">
        <v>7</v>
      </c>
      <c r="D155" s="22" t="s">
        <v>162</v>
      </c>
      <c r="E155" s="90">
        <v>558.081234097368</v>
      </c>
      <c r="F155" s="90">
        <f>INDEX('Revised 2020 Lockdown'!H$5:H$254,MATCH(B155,'Revised 2020 Lockdown'!B$5:B$254,0))</f>
        <v>558.081234097368</v>
      </c>
      <c r="G155" s="90">
        <f t="shared" si="18"/>
        <v>0</v>
      </c>
      <c r="H155" s="5">
        <v>493805.26</v>
      </c>
      <c r="I155" s="5">
        <f>INDEX('Revised 2020 Lockdown'!E$5:E$254,MATCH(B155,'Revised 2020 Lockdown'!B$5:B$254,0))</f>
        <v>493805.26</v>
      </c>
      <c r="J155" s="5">
        <f t="shared" si="19"/>
        <v>0</v>
      </c>
      <c r="K155" s="5">
        <v>41271.96</v>
      </c>
      <c r="L155" s="5">
        <f>INDEX('Revised 2020 Lockdown'!F$5:F$254,MATCH(B155,'Revised 2020 Lockdown'!B$5:B$254,0))</f>
        <v>41271.96</v>
      </c>
      <c r="M155" s="5">
        <f t="shared" si="20"/>
        <v>0</v>
      </c>
      <c r="N155" s="5">
        <f t="shared" si="17"/>
        <v>452533.3</v>
      </c>
      <c r="O155" s="60">
        <f>INDEX('Revised 2020 Lockdown'!G$5:G$254,MATCH(B155,'Revised 2020 Lockdown'!B$5:B$254,0))</f>
        <v>452533.3</v>
      </c>
      <c r="P155" s="5">
        <f t="shared" si="21"/>
        <v>0</v>
      </c>
      <c r="Q155" s="58">
        <f t="shared" si="22"/>
        <v>810.8735294278805</v>
      </c>
      <c r="R155" s="96">
        <f t="shared" si="23"/>
        <v>217846.0449812302</v>
      </c>
      <c r="T155" s="96">
        <v>218217.98777934024</v>
      </c>
      <c r="U155" s="5">
        <f t="shared" si="24"/>
        <v>-371.94279811004526</v>
      </c>
    </row>
    <row r="156" spans="2:21" x14ac:dyDescent="0.35">
      <c r="B156">
        <v>503</v>
      </c>
      <c r="C156" s="17">
        <v>7</v>
      </c>
      <c r="D156" s="22" t="s">
        <v>163</v>
      </c>
      <c r="E156" s="90">
        <v>419.21999999999997</v>
      </c>
      <c r="F156" s="90">
        <f>INDEX('Revised 2020 Lockdown'!H$5:H$254,MATCH(B156,'Revised 2020 Lockdown'!B$5:B$254,0))</f>
        <v>419.21999999999997</v>
      </c>
      <c r="G156" s="90">
        <f t="shared" si="18"/>
        <v>0</v>
      </c>
      <c r="H156" s="5">
        <v>225429.69</v>
      </c>
      <c r="I156" s="5">
        <f>INDEX('Revised 2020 Lockdown'!E$5:E$254,MATCH(B156,'Revised 2020 Lockdown'!B$5:B$254,0))</f>
        <v>225429.69</v>
      </c>
      <c r="J156" s="5">
        <f t="shared" si="19"/>
        <v>0</v>
      </c>
      <c r="K156" s="5">
        <v>32661.7</v>
      </c>
      <c r="L156" s="5">
        <f>INDEX('Revised 2020 Lockdown'!F$5:F$254,MATCH(B156,'Revised 2020 Lockdown'!B$5:B$254,0))</f>
        <v>32661.7</v>
      </c>
      <c r="M156" s="5">
        <f t="shared" si="20"/>
        <v>0</v>
      </c>
      <c r="N156" s="5">
        <f t="shared" si="17"/>
        <v>192767.99</v>
      </c>
      <c r="O156" s="60">
        <f>INDEX('Revised 2020 Lockdown'!G$5:G$254,MATCH(B156,'Revised 2020 Lockdown'!B$5:B$254,0))</f>
        <v>192767.99</v>
      </c>
      <c r="P156" s="5">
        <f t="shared" si="21"/>
        <v>0</v>
      </c>
      <c r="Q156" s="58">
        <f t="shared" si="22"/>
        <v>459.82536615619483</v>
      </c>
      <c r="R156" s="96">
        <f t="shared" si="23"/>
        <v>92797.025590119738</v>
      </c>
      <c r="T156" s="96">
        <v>92955.464020146101</v>
      </c>
      <c r="U156" s="5">
        <f t="shared" si="24"/>
        <v>-158.43843002636277</v>
      </c>
    </row>
    <row r="157" spans="2:21" x14ac:dyDescent="0.35">
      <c r="B157">
        <v>510</v>
      </c>
      <c r="C157" s="17">
        <v>7</v>
      </c>
      <c r="D157" s="22" t="s">
        <v>164</v>
      </c>
      <c r="E157" s="90">
        <v>530.77</v>
      </c>
      <c r="F157" s="90">
        <f>INDEX('Revised 2020 Lockdown'!H$5:H$254,MATCH(B157,'Revised 2020 Lockdown'!B$5:B$254,0))</f>
        <v>530.77</v>
      </c>
      <c r="G157" s="90">
        <f t="shared" si="18"/>
        <v>0</v>
      </c>
      <c r="H157" s="5">
        <v>414847.06</v>
      </c>
      <c r="I157" s="5">
        <f>INDEX('Revised 2020 Lockdown'!E$5:E$254,MATCH(B157,'Revised 2020 Lockdown'!B$5:B$254,0))</f>
        <v>414847.06</v>
      </c>
      <c r="J157" s="5">
        <f t="shared" si="19"/>
        <v>0</v>
      </c>
      <c r="K157" s="5">
        <v>49771.329999999994</v>
      </c>
      <c r="L157" s="5">
        <f>INDEX('Revised 2020 Lockdown'!F$5:F$254,MATCH(B157,'Revised 2020 Lockdown'!B$5:B$254,0))</f>
        <v>49771.329999999994</v>
      </c>
      <c r="M157" s="5">
        <f t="shared" si="20"/>
        <v>0</v>
      </c>
      <c r="N157" s="5">
        <f t="shared" si="17"/>
        <v>365075.73</v>
      </c>
      <c r="O157" s="60">
        <f>INDEX('Revised 2020 Lockdown'!G$5:G$254,MATCH(B157,'Revised 2020 Lockdown'!B$5:B$254,0))</f>
        <v>365075.73</v>
      </c>
      <c r="P157" s="5">
        <f t="shared" si="21"/>
        <v>0</v>
      </c>
      <c r="Q157" s="58">
        <f t="shared" si="22"/>
        <v>687.82284228573576</v>
      </c>
      <c r="R157" s="96">
        <f t="shared" si="23"/>
        <v>175744.6444253615</v>
      </c>
      <c r="T157" s="96">
        <v>176044.70474918358</v>
      </c>
      <c r="U157" s="5">
        <f t="shared" si="24"/>
        <v>-300.06032382207923</v>
      </c>
    </row>
    <row r="158" spans="2:21" x14ac:dyDescent="0.35">
      <c r="B158">
        <v>531</v>
      </c>
      <c r="C158" s="17">
        <v>7</v>
      </c>
      <c r="D158" s="22" t="s">
        <v>165</v>
      </c>
      <c r="E158" s="90">
        <v>1846.9199999999998</v>
      </c>
      <c r="F158" s="90">
        <f>INDEX('Revised 2020 Lockdown'!H$5:H$254,MATCH(B158,'Revised 2020 Lockdown'!B$5:B$254,0))</f>
        <v>1846.9199999999998</v>
      </c>
      <c r="G158" s="90">
        <f t="shared" si="18"/>
        <v>0</v>
      </c>
      <c r="H158" s="5">
        <v>626860.81000000006</v>
      </c>
      <c r="I158" s="5">
        <f>INDEX('Revised 2020 Lockdown'!E$5:E$254,MATCH(B158,'Revised 2020 Lockdown'!B$5:B$254,0))</f>
        <v>626860.81000000006</v>
      </c>
      <c r="J158" s="5">
        <f t="shared" si="19"/>
        <v>0</v>
      </c>
      <c r="K158" s="5">
        <v>4289.12</v>
      </c>
      <c r="L158" s="5">
        <f>INDEX('Revised 2020 Lockdown'!F$5:F$254,MATCH(B158,'Revised 2020 Lockdown'!B$5:B$254,0))</f>
        <v>4289.12</v>
      </c>
      <c r="M158" s="5">
        <f t="shared" si="20"/>
        <v>0</v>
      </c>
      <c r="N158" s="5">
        <f t="shared" si="17"/>
        <v>622571.69000000006</v>
      </c>
      <c r="O158" s="60">
        <f>INDEX('Revised 2020 Lockdown'!G$5:G$254,MATCH(B158,'Revised 2020 Lockdown'!B$5:B$254,0))</f>
        <v>622571.69000000006</v>
      </c>
      <c r="P158" s="5">
        <f t="shared" si="21"/>
        <v>0</v>
      </c>
      <c r="Q158" s="58">
        <f t="shared" si="22"/>
        <v>337.08644121023116</v>
      </c>
      <c r="R158" s="96">
        <f t="shared" si="23"/>
        <v>299701.21620614553</v>
      </c>
      <c r="T158" s="96">
        <v>300212.91569080821</v>
      </c>
      <c r="U158" s="5">
        <f t="shared" si="24"/>
        <v>-511.6994846626767</v>
      </c>
    </row>
    <row r="159" spans="2:21" x14ac:dyDescent="0.35">
      <c r="B159">
        <v>550</v>
      </c>
      <c r="C159" s="17">
        <v>7</v>
      </c>
      <c r="D159" s="22" t="s">
        <v>166</v>
      </c>
      <c r="E159" s="90">
        <v>299.51</v>
      </c>
      <c r="F159" s="90">
        <f>INDEX('Revised 2020 Lockdown'!H$5:H$254,MATCH(B159,'Revised 2020 Lockdown'!B$5:B$254,0))</f>
        <v>299.51</v>
      </c>
      <c r="G159" s="90">
        <f t="shared" si="18"/>
        <v>0</v>
      </c>
      <c r="H159" s="5">
        <v>465069.58</v>
      </c>
      <c r="I159" s="5">
        <f>INDEX('Revised 2020 Lockdown'!E$5:E$254,MATCH(B159,'Revised 2020 Lockdown'!B$5:B$254,0))</f>
        <v>465069.58</v>
      </c>
      <c r="J159" s="5">
        <f t="shared" si="19"/>
        <v>0</v>
      </c>
      <c r="K159" s="5">
        <v>799.83</v>
      </c>
      <c r="L159" s="5">
        <f>INDEX('Revised 2020 Lockdown'!F$5:F$254,MATCH(B159,'Revised 2020 Lockdown'!B$5:B$254,0))</f>
        <v>799.83</v>
      </c>
      <c r="M159" s="5">
        <f t="shared" si="20"/>
        <v>0</v>
      </c>
      <c r="N159" s="5">
        <f t="shared" si="17"/>
        <v>464269.75</v>
      </c>
      <c r="O159" s="60">
        <f>INDEX('Revised 2020 Lockdown'!G$5:G$254,MATCH(B159,'Revised 2020 Lockdown'!B$5:B$254,0))</f>
        <v>464269.75</v>
      </c>
      <c r="P159" s="5">
        <f t="shared" si="21"/>
        <v>0</v>
      </c>
      <c r="Q159" s="58">
        <f t="shared" si="22"/>
        <v>1550.097659510534</v>
      </c>
      <c r="R159" s="96">
        <f t="shared" si="23"/>
        <v>223495.88161119746</v>
      </c>
      <c r="T159" s="96">
        <v>223877.47074484322</v>
      </c>
      <c r="U159" s="5">
        <f t="shared" si="24"/>
        <v>-381.5891336457571</v>
      </c>
    </row>
    <row r="160" spans="2:21" x14ac:dyDescent="0.35">
      <c r="B160">
        <v>551</v>
      </c>
      <c r="C160" s="17">
        <v>7</v>
      </c>
      <c r="D160" s="22" t="s">
        <v>167</v>
      </c>
      <c r="E160" s="90">
        <v>168.57265257450149</v>
      </c>
      <c r="F160" s="90">
        <f>INDEX('Revised 2020 Lockdown'!H$5:H$254,MATCH(B160,'Revised 2020 Lockdown'!B$5:B$254,0))</f>
        <v>168.57265257450149</v>
      </c>
      <c r="G160" s="90">
        <f t="shared" si="18"/>
        <v>0</v>
      </c>
      <c r="H160" s="5">
        <v>198834.28</v>
      </c>
      <c r="I160" s="5">
        <f>INDEX('Revised 2020 Lockdown'!E$5:E$254,MATCH(B160,'Revised 2020 Lockdown'!B$5:B$254,0))</f>
        <v>198834.28</v>
      </c>
      <c r="J160" s="5">
        <f t="shared" si="19"/>
        <v>0</v>
      </c>
      <c r="K160" s="5">
        <v>0</v>
      </c>
      <c r="L160" s="5">
        <f>INDEX('Revised 2020 Lockdown'!F$5:F$254,MATCH(B160,'Revised 2020 Lockdown'!B$5:B$254,0))</f>
        <v>0</v>
      </c>
      <c r="M160" s="5">
        <f t="shared" si="20"/>
        <v>0</v>
      </c>
      <c r="N160" s="5">
        <f t="shared" si="17"/>
        <v>198834.28</v>
      </c>
      <c r="O160" s="60">
        <f>INDEX('Revised 2020 Lockdown'!G$5:G$254,MATCH(B160,'Revised 2020 Lockdown'!B$5:B$254,0))</f>
        <v>198834.28</v>
      </c>
      <c r="P160" s="5">
        <f t="shared" si="21"/>
        <v>0</v>
      </c>
      <c r="Q160" s="58">
        <f t="shared" si="22"/>
        <v>1179.5168253173465</v>
      </c>
      <c r="R160" s="96">
        <f t="shared" si="23"/>
        <v>95717.290870507248</v>
      </c>
      <c r="T160" s="96">
        <v>95880.715260410492</v>
      </c>
      <c r="U160" s="5">
        <f t="shared" si="24"/>
        <v>-163.42438990324445</v>
      </c>
    </row>
    <row r="161" spans="2:21" x14ac:dyDescent="0.35">
      <c r="B161">
        <v>555</v>
      </c>
      <c r="C161" s="17">
        <v>7</v>
      </c>
      <c r="D161" s="22" t="s">
        <v>168</v>
      </c>
      <c r="E161" s="90">
        <v>681.19804882222115</v>
      </c>
      <c r="F161" s="90">
        <f>INDEX('Revised 2020 Lockdown'!H$5:H$254,MATCH(B161,'Revised 2020 Lockdown'!B$5:B$254,0))</f>
        <v>681.19804882222115</v>
      </c>
      <c r="G161" s="90">
        <f t="shared" si="18"/>
        <v>0</v>
      </c>
      <c r="H161" s="5">
        <v>581748.55000000005</v>
      </c>
      <c r="I161" s="5">
        <f>INDEX('Revised 2020 Lockdown'!E$5:E$254,MATCH(B161,'Revised 2020 Lockdown'!B$5:B$254,0))</f>
        <v>581748.55000000005</v>
      </c>
      <c r="J161" s="5">
        <f t="shared" si="19"/>
        <v>0</v>
      </c>
      <c r="K161" s="5">
        <v>331.81</v>
      </c>
      <c r="L161" s="5">
        <f>INDEX('Revised 2020 Lockdown'!F$5:F$254,MATCH(B161,'Revised 2020 Lockdown'!B$5:B$254,0))</f>
        <v>331.81</v>
      </c>
      <c r="M161" s="5">
        <f t="shared" si="20"/>
        <v>0</v>
      </c>
      <c r="N161" s="5">
        <f t="shared" si="17"/>
        <v>581416.74</v>
      </c>
      <c r="O161" s="60">
        <f>INDEX('Revised 2020 Lockdown'!G$5:G$254,MATCH(B161,'Revised 2020 Lockdown'!B$5:B$254,0))</f>
        <v>581416.74</v>
      </c>
      <c r="P161" s="5">
        <f t="shared" si="21"/>
        <v>0</v>
      </c>
      <c r="Q161" s="58">
        <f t="shared" si="22"/>
        <v>853.52085345114949</v>
      </c>
      <c r="R161" s="96">
        <f t="shared" si="23"/>
        <v>279889.54027224123</v>
      </c>
      <c r="T161" s="96">
        <v>280367.41398704547</v>
      </c>
      <c r="U161" s="5">
        <f t="shared" si="24"/>
        <v>-477.8737148042419</v>
      </c>
    </row>
    <row r="162" spans="2:21" x14ac:dyDescent="0.35">
      <c r="B162">
        <v>556</v>
      </c>
      <c r="C162" s="17">
        <v>7</v>
      </c>
      <c r="D162" s="22" t="s">
        <v>169</v>
      </c>
      <c r="E162" s="90">
        <v>419.35467175147664</v>
      </c>
      <c r="F162" s="90">
        <f>INDEX('Revised 2020 Lockdown'!H$5:H$254,MATCH(B162,'Revised 2020 Lockdown'!B$5:B$254,0))</f>
        <v>419.35467175147664</v>
      </c>
      <c r="G162" s="90">
        <f t="shared" si="18"/>
        <v>0</v>
      </c>
      <c r="H162" s="5">
        <v>333429.65999999997</v>
      </c>
      <c r="I162" s="5">
        <f>INDEX('Revised 2020 Lockdown'!E$5:E$254,MATCH(B162,'Revised 2020 Lockdown'!B$5:B$254,0))</f>
        <v>333135.69</v>
      </c>
      <c r="J162" s="5">
        <f t="shared" si="19"/>
        <v>-293.96999999997206</v>
      </c>
      <c r="K162" s="5">
        <v>417.72</v>
      </c>
      <c r="L162" s="5">
        <f>INDEX('Revised 2020 Lockdown'!F$5:F$254,MATCH(B162,'Revised 2020 Lockdown'!B$5:B$254,0))</f>
        <v>417.72</v>
      </c>
      <c r="M162" s="5">
        <f t="shared" si="20"/>
        <v>0</v>
      </c>
      <c r="N162" s="5">
        <f t="shared" si="17"/>
        <v>333011.94</v>
      </c>
      <c r="O162" s="60">
        <f>INDEX('Revised 2020 Lockdown'!G$5:G$254,MATCH(B162,'Revised 2020 Lockdown'!B$5:B$254,0))</f>
        <v>332717.97000000003</v>
      </c>
      <c r="P162" s="5">
        <f t="shared" si="21"/>
        <v>-293.96999999997206</v>
      </c>
      <c r="Q162" s="58">
        <f t="shared" si="22"/>
        <v>793.40470587908374</v>
      </c>
      <c r="R162" s="96">
        <f t="shared" si="23"/>
        <v>160167.86799708134</v>
      </c>
      <c r="T162" s="96">
        <v>160583.08958322933</v>
      </c>
      <c r="U162" s="5">
        <f t="shared" si="24"/>
        <v>-415.22158614799264</v>
      </c>
    </row>
    <row r="163" spans="2:21" x14ac:dyDescent="0.35">
      <c r="B163">
        <v>558</v>
      </c>
      <c r="C163" s="17">
        <v>7</v>
      </c>
      <c r="D163" s="22" t="s">
        <v>170</v>
      </c>
      <c r="E163" s="90">
        <v>420.7794699722358</v>
      </c>
      <c r="F163" s="90">
        <f>INDEX('Revised 2020 Lockdown'!H$5:H$254,MATCH(B163,'Revised 2020 Lockdown'!B$5:B$254,0))</f>
        <v>408.1663869390668</v>
      </c>
      <c r="G163" s="90">
        <f t="shared" si="18"/>
        <v>-12.613083033169005</v>
      </c>
      <c r="H163" s="5">
        <v>566834.79</v>
      </c>
      <c r="I163" s="5">
        <f>INDEX('Revised 2020 Lockdown'!E$5:E$254,MATCH(B163,'Revised 2020 Lockdown'!B$5:B$254,0))</f>
        <v>565658.16</v>
      </c>
      <c r="J163" s="5">
        <f t="shared" si="19"/>
        <v>-1176.6300000000047</v>
      </c>
      <c r="K163" s="5">
        <v>0</v>
      </c>
      <c r="L163" s="5">
        <f>INDEX('Revised 2020 Lockdown'!F$5:F$254,MATCH(B163,'Revised 2020 Lockdown'!B$5:B$254,0))</f>
        <v>0</v>
      </c>
      <c r="M163" s="5">
        <f t="shared" si="20"/>
        <v>0</v>
      </c>
      <c r="N163" s="5">
        <f t="shared" si="17"/>
        <v>566834.79</v>
      </c>
      <c r="O163" s="60">
        <f>INDEX('Revised 2020 Lockdown'!G$5:G$254,MATCH(B163,'Revised 2020 Lockdown'!B$5:B$254,0))</f>
        <v>565658.16</v>
      </c>
      <c r="P163" s="5">
        <f t="shared" si="21"/>
        <v>-1176.6300000000047</v>
      </c>
      <c r="Q163" s="58">
        <f t="shared" si="22"/>
        <v>1385.8518930037333</v>
      </c>
      <c r="R163" s="96">
        <f t="shared" si="23"/>
        <v>272303.48124073946</v>
      </c>
      <c r="T163" s="96">
        <v>273335.79048685456</v>
      </c>
      <c r="U163" s="5">
        <f t="shared" si="24"/>
        <v>-1032.3092461150954</v>
      </c>
    </row>
    <row r="164" spans="2:21" x14ac:dyDescent="0.35">
      <c r="B164">
        <v>600</v>
      </c>
      <c r="C164" s="17">
        <v>7</v>
      </c>
      <c r="D164" s="22" t="s">
        <v>171</v>
      </c>
      <c r="E164" s="90">
        <v>704.76</v>
      </c>
      <c r="F164" s="90">
        <f>INDEX('Revised 2020 Lockdown'!H$5:H$254,MATCH(B164,'Revised 2020 Lockdown'!B$5:B$254,0))</f>
        <v>704.76</v>
      </c>
      <c r="G164" s="90">
        <f t="shared" si="18"/>
        <v>0</v>
      </c>
      <c r="H164" s="5">
        <v>327027.7</v>
      </c>
      <c r="I164" s="5">
        <f>INDEX('Revised 2020 Lockdown'!E$5:E$254,MATCH(B164,'Revised 2020 Lockdown'!B$5:B$254,0))</f>
        <v>327027.7</v>
      </c>
      <c r="J164" s="5">
        <f t="shared" si="19"/>
        <v>0</v>
      </c>
      <c r="K164" s="5">
        <v>0</v>
      </c>
      <c r="L164" s="5">
        <f>INDEX('Revised 2020 Lockdown'!F$5:F$254,MATCH(B164,'Revised 2020 Lockdown'!B$5:B$254,0))</f>
        <v>0</v>
      </c>
      <c r="M164" s="5">
        <f t="shared" si="20"/>
        <v>0</v>
      </c>
      <c r="N164" s="5">
        <f t="shared" si="17"/>
        <v>327027.7</v>
      </c>
      <c r="O164" s="60">
        <f>INDEX('Revised 2020 Lockdown'!G$5:G$254,MATCH(B164,'Revised 2020 Lockdown'!B$5:B$254,0))</f>
        <v>327027.7</v>
      </c>
      <c r="P164" s="5">
        <f t="shared" si="21"/>
        <v>0</v>
      </c>
      <c r="Q164" s="58">
        <f t="shared" si="22"/>
        <v>464.0270446676883</v>
      </c>
      <c r="R164" s="96">
        <f t="shared" si="23"/>
        <v>157428.61584839891</v>
      </c>
      <c r="T164" s="96">
        <v>157697.40401889928</v>
      </c>
      <c r="U164" s="5">
        <f t="shared" si="24"/>
        <v>-268.78817050036741</v>
      </c>
    </row>
    <row r="165" spans="2:21" x14ac:dyDescent="0.35">
      <c r="B165">
        <v>604</v>
      </c>
      <c r="C165" s="17">
        <v>7</v>
      </c>
      <c r="D165" s="22" t="s">
        <v>172</v>
      </c>
      <c r="E165" s="90">
        <v>546.2846059247853</v>
      </c>
      <c r="F165" s="90">
        <f>INDEX('Revised 2020 Lockdown'!H$5:H$254,MATCH(B165,'Revised 2020 Lockdown'!B$5:B$254,0))</f>
        <v>546.2846059247853</v>
      </c>
      <c r="G165" s="90">
        <f t="shared" si="18"/>
        <v>0</v>
      </c>
      <c r="H165" s="5">
        <v>221760.71</v>
      </c>
      <c r="I165" s="5">
        <f>INDEX('Revised 2020 Lockdown'!E$5:E$254,MATCH(B165,'Revised 2020 Lockdown'!B$5:B$254,0))</f>
        <v>221760.71</v>
      </c>
      <c r="J165" s="5">
        <f t="shared" si="19"/>
        <v>0</v>
      </c>
      <c r="K165" s="5">
        <v>440</v>
      </c>
      <c r="L165" s="5">
        <f>INDEX('Revised 2020 Lockdown'!F$5:F$254,MATCH(B165,'Revised 2020 Lockdown'!B$5:B$254,0))</f>
        <v>440</v>
      </c>
      <c r="M165" s="5">
        <f t="shared" si="20"/>
        <v>0</v>
      </c>
      <c r="N165" s="5">
        <f t="shared" si="17"/>
        <v>221320.71</v>
      </c>
      <c r="O165" s="60">
        <f>INDEX('Revised 2020 Lockdown'!G$5:G$254,MATCH(B165,'Revised 2020 Lockdown'!B$5:B$254,0))</f>
        <v>221320.71</v>
      </c>
      <c r="P165" s="5">
        <f t="shared" si="21"/>
        <v>0</v>
      </c>
      <c r="Q165" s="58">
        <f t="shared" si="22"/>
        <v>405.13810493585891</v>
      </c>
      <c r="R165" s="96">
        <f t="shared" si="23"/>
        <v>106542.08507072917</v>
      </c>
      <c r="T165" s="96">
        <v>106723.9913396316</v>
      </c>
      <c r="U165" s="5">
        <f t="shared" si="24"/>
        <v>-181.90626890242856</v>
      </c>
    </row>
    <row r="166" spans="2:21" x14ac:dyDescent="0.35">
      <c r="B166">
        <v>612</v>
      </c>
      <c r="C166" s="17">
        <v>7</v>
      </c>
      <c r="D166" s="22" t="s">
        <v>173</v>
      </c>
      <c r="E166" s="90">
        <v>465.08168418311266</v>
      </c>
      <c r="F166" s="90">
        <f>INDEX('Revised 2020 Lockdown'!H$5:H$254,MATCH(B166,'Revised 2020 Lockdown'!B$5:B$254,0))</f>
        <v>465.08168418311266</v>
      </c>
      <c r="G166" s="90">
        <f t="shared" si="18"/>
        <v>0</v>
      </c>
      <c r="H166" s="5">
        <v>335060.58</v>
      </c>
      <c r="I166" s="5">
        <f>INDEX('Revised 2020 Lockdown'!E$5:E$254,MATCH(B166,'Revised 2020 Lockdown'!B$5:B$254,0))</f>
        <v>335060.58</v>
      </c>
      <c r="J166" s="5">
        <f t="shared" si="19"/>
        <v>0</v>
      </c>
      <c r="K166" s="5">
        <v>6380.83</v>
      </c>
      <c r="L166" s="5">
        <f>INDEX('Revised 2020 Lockdown'!F$5:F$254,MATCH(B166,'Revised 2020 Lockdown'!B$5:B$254,0))</f>
        <v>6380.83</v>
      </c>
      <c r="M166" s="5">
        <f t="shared" si="20"/>
        <v>0</v>
      </c>
      <c r="N166" s="5">
        <f t="shared" si="17"/>
        <v>328679.75</v>
      </c>
      <c r="O166" s="60">
        <f>INDEX('Revised 2020 Lockdown'!G$5:G$254,MATCH(B166,'Revised 2020 Lockdown'!B$5:B$254,0))</f>
        <v>328679.75</v>
      </c>
      <c r="P166" s="5">
        <f t="shared" si="21"/>
        <v>0</v>
      </c>
      <c r="Q166" s="58">
        <f t="shared" si="22"/>
        <v>706.714027187086</v>
      </c>
      <c r="R166" s="96">
        <f t="shared" si="23"/>
        <v>158223.89999348004</v>
      </c>
      <c r="T166" s="96">
        <v>158494.04600460696</v>
      </c>
      <c r="U166" s="5">
        <f t="shared" si="24"/>
        <v>-270.14601112692617</v>
      </c>
    </row>
    <row r="167" spans="2:21" x14ac:dyDescent="0.35">
      <c r="B167">
        <v>635</v>
      </c>
      <c r="C167" s="17">
        <v>7</v>
      </c>
      <c r="D167" s="22" t="s">
        <v>174</v>
      </c>
      <c r="E167" s="90">
        <v>57.509999999999991</v>
      </c>
      <c r="F167" s="90">
        <f>INDEX('Revised 2020 Lockdown'!H$5:H$254,MATCH(B167,'Revised 2020 Lockdown'!B$5:B$254,0))</f>
        <v>57.509999999999991</v>
      </c>
      <c r="G167" s="90">
        <f t="shared" si="18"/>
        <v>0</v>
      </c>
      <c r="H167" s="5">
        <v>38441.699999999997</v>
      </c>
      <c r="I167" s="5">
        <f>INDEX('Revised 2020 Lockdown'!E$5:E$254,MATCH(B167,'Revised 2020 Lockdown'!B$5:B$254,0))</f>
        <v>38441.699999999997</v>
      </c>
      <c r="J167" s="5">
        <f t="shared" si="19"/>
        <v>0</v>
      </c>
      <c r="K167" s="5">
        <v>0</v>
      </c>
      <c r="L167" s="5">
        <f>INDEX('Revised 2020 Lockdown'!F$5:F$254,MATCH(B167,'Revised 2020 Lockdown'!B$5:B$254,0))</f>
        <v>0</v>
      </c>
      <c r="M167" s="5">
        <f t="shared" si="20"/>
        <v>0</v>
      </c>
      <c r="N167" s="5">
        <f t="shared" si="17"/>
        <v>38441.699999999997</v>
      </c>
      <c r="O167" s="60">
        <f>INDEX('Revised 2020 Lockdown'!G$5:G$254,MATCH(B167,'Revised 2020 Lockdown'!B$5:B$254,0))</f>
        <v>38441.699999999997</v>
      </c>
      <c r="P167" s="5">
        <f t="shared" si="21"/>
        <v>0</v>
      </c>
      <c r="Q167" s="58">
        <f t="shared" si="22"/>
        <v>668.43505477308304</v>
      </c>
      <c r="R167" s="96">
        <f t="shared" si="23"/>
        <v>18505.538282718546</v>
      </c>
      <c r="T167" s="96">
        <v>18537.133998353409</v>
      </c>
      <c r="U167" s="5">
        <f t="shared" si="24"/>
        <v>-31.595715634863154</v>
      </c>
    </row>
    <row r="168" spans="2:21" x14ac:dyDescent="0.35">
      <c r="B168">
        <v>642</v>
      </c>
      <c r="C168" s="17">
        <v>7</v>
      </c>
      <c r="D168" s="22" t="s">
        <v>175</v>
      </c>
      <c r="E168" s="90">
        <v>110.85473097754361</v>
      </c>
      <c r="F168" s="90">
        <f>INDEX('Revised 2020 Lockdown'!H$5:H$254,MATCH(B168,'Revised 2020 Lockdown'!B$5:B$254,0))</f>
        <v>110.85473097754361</v>
      </c>
      <c r="G168" s="90">
        <f t="shared" si="18"/>
        <v>0</v>
      </c>
      <c r="H168" s="5">
        <v>77168.75</v>
      </c>
      <c r="I168" s="5">
        <f>INDEX('Revised 2020 Lockdown'!E$5:E$254,MATCH(B168,'Revised 2020 Lockdown'!B$5:B$254,0))</f>
        <v>77168.75</v>
      </c>
      <c r="J168" s="5">
        <f t="shared" si="19"/>
        <v>0</v>
      </c>
      <c r="K168" s="5">
        <v>0</v>
      </c>
      <c r="L168" s="5">
        <f>INDEX('Revised 2020 Lockdown'!F$5:F$254,MATCH(B168,'Revised 2020 Lockdown'!B$5:B$254,0))</f>
        <v>0</v>
      </c>
      <c r="M168" s="5">
        <f t="shared" si="20"/>
        <v>0</v>
      </c>
      <c r="N168" s="5">
        <f t="shared" si="17"/>
        <v>77168.75</v>
      </c>
      <c r="O168" s="60">
        <f>INDEX('Revised 2020 Lockdown'!G$5:G$254,MATCH(B168,'Revised 2020 Lockdown'!B$5:B$254,0))</f>
        <v>77168.75</v>
      </c>
      <c r="P168" s="5">
        <f t="shared" si="21"/>
        <v>0</v>
      </c>
      <c r="Q168" s="58">
        <f t="shared" si="22"/>
        <v>696.12500359260673</v>
      </c>
      <c r="R168" s="96">
        <f t="shared" si="23"/>
        <v>37148.441857528072</v>
      </c>
      <c r="T168" s="96">
        <v>37211.867821543659</v>
      </c>
      <c r="U168" s="5">
        <f t="shared" si="24"/>
        <v>-63.425964015586942</v>
      </c>
    </row>
    <row r="169" spans="2:21" x14ac:dyDescent="0.35">
      <c r="B169">
        <v>643</v>
      </c>
      <c r="C169" s="17">
        <v>7</v>
      </c>
      <c r="D169" s="22" t="s">
        <v>176</v>
      </c>
      <c r="E169" s="90">
        <v>6.900025061560684</v>
      </c>
      <c r="F169" s="90">
        <f>INDEX('Revised 2020 Lockdown'!H$5:H$254,MATCH(B169,'Revised 2020 Lockdown'!B$5:B$254,0))</f>
        <v>6.900025061560684</v>
      </c>
      <c r="G169" s="90">
        <f t="shared" si="18"/>
        <v>0</v>
      </c>
      <c r="H169" s="5">
        <v>26111.29</v>
      </c>
      <c r="I169" s="5">
        <f>INDEX('Revised 2020 Lockdown'!E$5:E$254,MATCH(B169,'Revised 2020 Lockdown'!B$5:B$254,0))</f>
        <v>26111.29</v>
      </c>
      <c r="J169" s="5">
        <f t="shared" si="19"/>
        <v>0</v>
      </c>
      <c r="K169" s="5">
        <v>0</v>
      </c>
      <c r="L169" s="5">
        <f>INDEX('Revised 2020 Lockdown'!F$5:F$254,MATCH(B169,'Revised 2020 Lockdown'!B$5:B$254,0))</f>
        <v>0</v>
      </c>
      <c r="M169" s="5">
        <f t="shared" si="20"/>
        <v>0</v>
      </c>
      <c r="N169" s="5">
        <f t="shared" si="17"/>
        <v>26111.29</v>
      </c>
      <c r="O169" s="60">
        <f>INDEX('Revised 2020 Lockdown'!G$5:G$254,MATCH(B169,'Revised 2020 Lockdown'!B$5:B$254,0))</f>
        <v>26111.29</v>
      </c>
      <c r="P169" s="5">
        <f t="shared" si="21"/>
        <v>0</v>
      </c>
      <c r="Q169" s="58">
        <f t="shared" si="22"/>
        <v>3784.2311827913873</v>
      </c>
      <c r="R169" s="96">
        <f t="shared" si="23"/>
        <v>12569.773883729544</v>
      </c>
      <c r="T169" s="96">
        <v>12591.235080651102</v>
      </c>
      <c r="U169" s="5">
        <f t="shared" si="24"/>
        <v>-21.461196921558439</v>
      </c>
    </row>
    <row r="170" spans="2:21" x14ac:dyDescent="0.35">
      <c r="B170">
        <v>711</v>
      </c>
      <c r="C170" s="17">
        <v>7</v>
      </c>
      <c r="D170" s="22" t="s">
        <v>177</v>
      </c>
      <c r="E170" s="90">
        <v>446.28</v>
      </c>
      <c r="F170" s="90">
        <f>INDEX('Revised 2020 Lockdown'!H$5:H$254,MATCH(B170,'Revised 2020 Lockdown'!B$5:B$254,0))</f>
        <v>446.28</v>
      </c>
      <c r="G170" s="90">
        <f t="shared" si="18"/>
        <v>0</v>
      </c>
      <c r="H170" s="5">
        <v>236844.49</v>
      </c>
      <c r="I170" s="5">
        <f>INDEX('Revised 2020 Lockdown'!E$5:E$254,MATCH(B170,'Revised 2020 Lockdown'!B$5:B$254,0))</f>
        <v>236844.49</v>
      </c>
      <c r="J170" s="5">
        <f t="shared" si="19"/>
        <v>0</v>
      </c>
      <c r="K170" s="5">
        <v>12751.15</v>
      </c>
      <c r="L170" s="5">
        <f>INDEX('Revised 2020 Lockdown'!F$5:F$254,MATCH(B170,'Revised 2020 Lockdown'!B$5:B$254,0))</f>
        <v>12751.15</v>
      </c>
      <c r="M170" s="5">
        <f t="shared" si="20"/>
        <v>0</v>
      </c>
      <c r="N170" s="5">
        <f t="shared" si="17"/>
        <v>224093.34</v>
      </c>
      <c r="O170" s="60">
        <f>INDEX('Revised 2020 Lockdown'!G$5:G$254,MATCH(B170,'Revised 2020 Lockdown'!B$5:B$254,0))</f>
        <v>224093.34</v>
      </c>
      <c r="P170" s="5">
        <f t="shared" si="21"/>
        <v>0</v>
      </c>
      <c r="Q170" s="58">
        <f t="shared" si="22"/>
        <v>502.13619252487229</v>
      </c>
      <c r="R170" s="96">
        <f t="shared" si="23"/>
        <v>107876.80779654031</v>
      </c>
      <c r="T170" s="96">
        <v>108060.99292483347</v>
      </c>
      <c r="U170" s="5">
        <f t="shared" si="24"/>
        <v>-184.18512829316023</v>
      </c>
    </row>
    <row r="171" spans="2:21" x14ac:dyDescent="0.35">
      <c r="B171">
        <v>712</v>
      </c>
      <c r="C171" s="17">
        <v>7</v>
      </c>
      <c r="D171" s="22" t="s">
        <v>178</v>
      </c>
      <c r="E171" s="90">
        <v>802.26999999999987</v>
      </c>
      <c r="F171" s="90">
        <f>INDEX('Revised 2020 Lockdown'!H$5:H$254,MATCH(B171,'Revised 2020 Lockdown'!B$5:B$254,0))</f>
        <v>802.26999999999987</v>
      </c>
      <c r="G171" s="90">
        <f t="shared" si="18"/>
        <v>0</v>
      </c>
      <c r="H171" s="5">
        <v>381628.55</v>
      </c>
      <c r="I171" s="5">
        <f>INDEX('Revised 2020 Lockdown'!E$5:E$254,MATCH(B171,'Revised 2020 Lockdown'!B$5:B$254,0))</f>
        <v>381628.54</v>
      </c>
      <c r="J171" s="5">
        <f t="shared" si="19"/>
        <v>-1.0000000009313226E-2</v>
      </c>
      <c r="K171" s="5">
        <v>0</v>
      </c>
      <c r="L171" s="5">
        <f>INDEX('Revised 2020 Lockdown'!F$5:F$254,MATCH(B171,'Revised 2020 Lockdown'!B$5:B$254,0))</f>
        <v>0</v>
      </c>
      <c r="M171" s="5">
        <f t="shared" si="20"/>
        <v>0</v>
      </c>
      <c r="N171" s="5">
        <f t="shared" si="17"/>
        <v>381628.55</v>
      </c>
      <c r="O171" s="60">
        <f>INDEX('Revised 2020 Lockdown'!G$5:G$254,MATCH(B171,'Revised 2020 Lockdown'!B$5:B$254,0))</f>
        <v>381628.54</v>
      </c>
      <c r="P171" s="5">
        <f t="shared" si="21"/>
        <v>-1.0000000009313226E-2</v>
      </c>
      <c r="Q171" s="58">
        <f t="shared" si="22"/>
        <v>475.68591621274641</v>
      </c>
      <c r="R171" s="96">
        <f t="shared" si="23"/>
        <v>183713.03966130494</v>
      </c>
      <c r="T171" s="96">
        <v>184026.70976952932</v>
      </c>
      <c r="U171" s="5">
        <f t="shared" si="24"/>
        <v>-313.67010822438169</v>
      </c>
    </row>
    <row r="172" spans="2:21" x14ac:dyDescent="0.35">
      <c r="B172">
        <v>718</v>
      </c>
      <c r="C172" s="17">
        <v>7</v>
      </c>
      <c r="D172" s="22" t="s">
        <v>179</v>
      </c>
      <c r="E172" s="90">
        <v>39.640028044351531</v>
      </c>
      <c r="F172" s="90">
        <f>INDEX('Revised 2020 Lockdown'!H$5:H$254,MATCH(B172,'Revised 2020 Lockdown'!B$5:B$254,0))</f>
        <v>39.640028044351531</v>
      </c>
      <c r="G172" s="90">
        <f t="shared" si="18"/>
        <v>0</v>
      </c>
      <c r="H172" s="5">
        <v>24676.86</v>
      </c>
      <c r="I172" s="5">
        <f>INDEX('Revised 2020 Lockdown'!E$5:E$254,MATCH(B172,'Revised 2020 Lockdown'!B$5:B$254,0))</f>
        <v>24676.86</v>
      </c>
      <c r="J172" s="5">
        <f t="shared" si="19"/>
        <v>0</v>
      </c>
      <c r="K172" s="5">
        <v>0</v>
      </c>
      <c r="L172" s="5">
        <f>INDEX('Revised 2020 Lockdown'!F$5:F$254,MATCH(B172,'Revised 2020 Lockdown'!B$5:B$254,0))</f>
        <v>0</v>
      </c>
      <c r="M172" s="5">
        <f t="shared" si="20"/>
        <v>0</v>
      </c>
      <c r="N172" s="5">
        <f t="shared" si="17"/>
        <v>24676.86</v>
      </c>
      <c r="O172" s="60">
        <f>INDEX('Revised 2020 Lockdown'!G$5:G$254,MATCH(B172,'Revised 2020 Lockdown'!B$5:B$254,0))</f>
        <v>24676.86</v>
      </c>
      <c r="P172" s="5">
        <f t="shared" si="21"/>
        <v>0</v>
      </c>
      <c r="Q172" s="58">
        <f t="shared" si="22"/>
        <v>622.52377754097745</v>
      </c>
      <c r="R172" s="96">
        <f t="shared" si="23"/>
        <v>11879.250330429872</v>
      </c>
      <c r="T172" s="96">
        <v>11899.53255133377</v>
      </c>
      <c r="U172" s="5">
        <f t="shared" si="24"/>
        <v>-20.282220903898633</v>
      </c>
    </row>
    <row r="173" spans="2:21" x14ac:dyDescent="0.35">
      <c r="B173">
        <v>736</v>
      </c>
      <c r="C173" s="17">
        <v>7</v>
      </c>
      <c r="D173" s="22" t="s">
        <v>180</v>
      </c>
      <c r="E173" s="90">
        <v>131.56105718761611</v>
      </c>
      <c r="F173" s="90">
        <f>INDEX('Revised 2020 Lockdown'!H$5:H$254,MATCH(B173,'Revised 2020 Lockdown'!B$5:B$254,0))</f>
        <v>131.56105718761611</v>
      </c>
      <c r="G173" s="90">
        <f t="shared" si="18"/>
        <v>0</v>
      </c>
      <c r="H173" s="5">
        <v>170008.1</v>
      </c>
      <c r="I173" s="5">
        <f>INDEX('Revised 2020 Lockdown'!E$5:E$254,MATCH(B173,'Revised 2020 Lockdown'!B$5:B$254,0))</f>
        <v>170008.1</v>
      </c>
      <c r="J173" s="5">
        <f t="shared" si="19"/>
        <v>0</v>
      </c>
      <c r="K173" s="5">
        <v>144</v>
      </c>
      <c r="L173" s="5">
        <f>INDEX('Revised 2020 Lockdown'!F$5:F$254,MATCH(B173,'Revised 2020 Lockdown'!B$5:B$254,0))</f>
        <v>144</v>
      </c>
      <c r="M173" s="5">
        <f t="shared" si="20"/>
        <v>0</v>
      </c>
      <c r="N173" s="5">
        <f t="shared" si="17"/>
        <v>169864.1</v>
      </c>
      <c r="O173" s="60">
        <f>INDEX('Revised 2020 Lockdown'!G$5:G$254,MATCH(B173,'Revised 2020 Lockdown'!B$5:B$254,0))</f>
        <v>169864.1</v>
      </c>
      <c r="P173" s="5">
        <f t="shared" si="21"/>
        <v>0</v>
      </c>
      <c r="Q173" s="58">
        <f t="shared" si="22"/>
        <v>1291.1427107016998</v>
      </c>
      <c r="R173" s="96">
        <f t="shared" si="23"/>
        <v>81771.269361384431</v>
      </c>
      <c r="T173" s="96">
        <v>81910.882796798891</v>
      </c>
      <c r="U173" s="5">
        <f t="shared" si="24"/>
        <v>-139.61343541445967</v>
      </c>
    </row>
    <row r="174" spans="2:21" x14ac:dyDescent="0.35">
      <c r="B174">
        <v>757</v>
      </c>
      <c r="C174" s="17">
        <v>7</v>
      </c>
      <c r="D174" s="22" t="s">
        <v>181</v>
      </c>
      <c r="E174" s="90">
        <v>463.09248804220078</v>
      </c>
      <c r="F174" s="90">
        <f>INDEX('Revised 2020 Lockdown'!H$5:H$254,MATCH(B174,'Revised 2020 Lockdown'!B$5:B$254,0))</f>
        <v>463.09248804220078</v>
      </c>
      <c r="G174" s="90">
        <f t="shared" si="18"/>
        <v>0</v>
      </c>
      <c r="H174" s="5">
        <v>284396.12</v>
      </c>
      <c r="I174" s="5">
        <f>INDEX('Revised 2020 Lockdown'!E$5:E$254,MATCH(B174,'Revised 2020 Lockdown'!B$5:B$254,0))</f>
        <v>284396.12</v>
      </c>
      <c r="J174" s="5">
        <f t="shared" si="19"/>
        <v>0</v>
      </c>
      <c r="K174" s="5">
        <v>608</v>
      </c>
      <c r="L174" s="5">
        <f>INDEX('Revised 2020 Lockdown'!F$5:F$254,MATCH(B174,'Revised 2020 Lockdown'!B$5:B$254,0))</f>
        <v>608</v>
      </c>
      <c r="M174" s="5">
        <f t="shared" si="20"/>
        <v>0</v>
      </c>
      <c r="N174" s="5">
        <f t="shared" si="17"/>
        <v>283788.12</v>
      </c>
      <c r="O174" s="60">
        <f>INDEX('Revised 2020 Lockdown'!G$5:G$254,MATCH(B174,'Revised 2020 Lockdown'!B$5:B$254,0))</f>
        <v>283788.12</v>
      </c>
      <c r="P174" s="5">
        <f t="shared" si="21"/>
        <v>0</v>
      </c>
      <c r="Q174" s="58">
        <f t="shared" si="22"/>
        <v>612.81089054102495</v>
      </c>
      <c r="R174" s="96">
        <f t="shared" si="23"/>
        <v>136613.41508936195</v>
      </c>
      <c r="T174" s="96">
        <v>136846.66410644684</v>
      </c>
      <c r="U174" s="5">
        <f t="shared" si="24"/>
        <v>-233.24901708489051</v>
      </c>
    </row>
    <row r="175" spans="2:21" x14ac:dyDescent="0.35">
      <c r="B175">
        <v>786</v>
      </c>
      <c r="C175" s="17">
        <v>7</v>
      </c>
      <c r="D175" s="22" t="s">
        <v>182</v>
      </c>
      <c r="E175" s="90">
        <v>3058.6000000000004</v>
      </c>
      <c r="F175" s="90">
        <f>INDEX('Revised 2020 Lockdown'!H$5:H$254,MATCH(B175,'Revised 2020 Lockdown'!B$5:B$254,0))</f>
        <v>3058.6000000000004</v>
      </c>
      <c r="G175" s="90">
        <f t="shared" si="18"/>
        <v>0</v>
      </c>
      <c r="H175" s="5">
        <v>1646967.46</v>
      </c>
      <c r="I175" s="5">
        <f>INDEX('Revised 2020 Lockdown'!E$5:E$254,MATCH(B175,'Revised 2020 Lockdown'!B$5:B$254,0))</f>
        <v>1646967.46</v>
      </c>
      <c r="J175" s="5">
        <f t="shared" si="19"/>
        <v>0</v>
      </c>
      <c r="K175" s="5">
        <v>167373.51999999999</v>
      </c>
      <c r="L175" s="5">
        <f>INDEX('Revised 2020 Lockdown'!F$5:F$254,MATCH(B175,'Revised 2020 Lockdown'!B$5:B$254,0))</f>
        <v>167373.51999999999</v>
      </c>
      <c r="M175" s="5">
        <f t="shared" si="20"/>
        <v>0</v>
      </c>
      <c r="N175" s="5">
        <f t="shared" si="17"/>
        <v>1479593.94</v>
      </c>
      <c r="O175" s="60">
        <f>INDEX('Revised 2020 Lockdown'!G$5:G$254,MATCH(B175,'Revised 2020 Lockdown'!B$5:B$254,0))</f>
        <v>1479593.94</v>
      </c>
      <c r="P175" s="5">
        <f t="shared" si="21"/>
        <v>0</v>
      </c>
      <c r="Q175" s="58">
        <f t="shared" si="22"/>
        <v>483.74875433204727</v>
      </c>
      <c r="R175" s="96">
        <f t="shared" si="23"/>
        <v>712265.12614032079</v>
      </c>
      <c r="T175" s="96">
        <v>713481.22296703001</v>
      </c>
      <c r="U175" s="5">
        <f t="shared" si="24"/>
        <v>-1216.0968267092248</v>
      </c>
    </row>
    <row r="176" spans="2:21" x14ac:dyDescent="0.35">
      <c r="B176">
        <v>854</v>
      </c>
      <c r="C176" s="17">
        <v>7</v>
      </c>
      <c r="D176" s="22" t="s">
        <v>183</v>
      </c>
      <c r="E176" s="90">
        <v>1034.6772209405242</v>
      </c>
      <c r="F176" s="90">
        <f>INDEX('Revised 2020 Lockdown'!H$5:H$254,MATCH(B176,'Revised 2020 Lockdown'!B$5:B$254,0))</f>
        <v>1034.6772209405242</v>
      </c>
      <c r="G176" s="90">
        <f t="shared" si="18"/>
        <v>0</v>
      </c>
      <c r="H176" s="5">
        <v>752199.32</v>
      </c>
      <c r="I176" s="5">
        <f>INDEX('Revised 2020 Lockdown'!E$5:E$254,MATCH(B176,'Revised 2020 Lockdown'!B$5:B$254,0))</f>
        <v>752199.32</v>
      </c>
      <c r="J176" s="5">
        <f t="shared" si="19"/>
        <v>0</v>
      </c>
      <c r="K176" s="5">
        <v>17207.98</v>
      </c>
      <c r="L176" s="5">
        <f>INDEX('Revised 2020 Lockdown'!F$5:F$254,MATCH(B176,'Revised 2020 Lockdown'!B$5:B$254,0))</f>
        <v>17207.98</v>
      </c>
      <c r="M176" s="5">
        <f t="shared" si="20"/>
        <v>0</v>
      </c>
      <c r="N176" s="5">
        <f t="shared" si="17"/>
        <v>734991.34</v>
      </c>
      <c r="O176" s="60">
        <f>INDEX('Revised 2020 Lockdown'!G$5:G$254,MATCH(B176,'Revised 2020 Lockdown'!B$5:B$254,0))</f>
        <v>734991.34</v>
      </c>
      <c r="P176" s="5">
        <f t="shared" si="21"/>
        <v>0</v>
      </c>
      <c r="Q176" s="58">
        <f t="shared" si="22"/>
        <v>710.35809537963053</v>
      </c>
      <c r="R176" s="96">
        <f t="shared" si="23"/>
        <v>353819.16980353632</v>
      </c>
      <c r="T176" s="96">
        <v>354423.26840928814</v>
      </c>
      <c r="U176" s="5">
        <f t="shared" si="24"/>
        <v>-604.09860575181665</v>
      </c>
    </row>
    <row r="177" spans="2:21" x14ac:dyDescent="0.35">
      <c r="B177">
        <v>855</v>
      </c>
      <c r="C177" s="17">
        <v>7</v>
      </c>
      <c r="D177" s="22" t="s">
        <v>184</v>
      </c>
      <c r="E177" s="90">
        <v>225.15</v>
      </c>
      <c r="F177" s="90">
        <f>INDEX('Revised 2020 Lockdown'!H$5:H$254,MATCH(B177,'Revised 2020 Lockdown'!B$5:B$254,0))</f>
        <v>225.15</v>
      </c>
      <c r="G177" s="90">
        <f t="shared" si="18"/>
        <v>0</v>
      </c>
      <c r="H177" s="5">
        <v>160179.32999999999</v>
      </c>
      <c r="I177" s="5">
        <f>INDEX('Revised 2020 Lockdown'!E$5:E$254,MATCH(B177,'Revised 2020 Lockdown'!B$5:B$254,0))</f>
        <v>160179.32999999999</v>
      </c>
      <c r="J177" s="5">
        <f t="shared" si="19"/>
        <v>0</v>
      </c>
      <c r="K177" s="5">
        <v>530</v>
      </c>
      <c r="L177" s="5">
        <f>INDEX('Revised 2020 Lockdown'!F$5:F$254,MATCH(B177,'Revised 2020 Lockdown'!B$5:B$254,0))</f>
        <v>530</v>
      </c>
      <c r="M177" s="5">
        <f t="shared" si="20"/>
        <v>0</v>
      </c>
      <c r="N177" s="5">
        <f t="shared" si="17"/>
        <v>159649.32999999999</v>
      </c>
      <c r="O177" s="60">
        <f>INDEX('Revised 2020 Lockdown'!G$5:G$254,MATCH(B177,'Revised 2020 Lockdown'!B$5:B$254,0))</f>
        <v>159649.32999999999</v>
      </c>
      <c r="P177" s="5">
        <f t="shared" si="21"/>
        <v>0</v>
      </c>
      <c r="Q177" s="58">
        <f t="shared" si="22"/>
        <v>709.07985787252937</v>
      </c>
      <c r="R177" s="96">
        <f t="shared" si="23"/>
        <v>76853.957762673512</v>
      </c>
      <c r="T177" s="96">
        <v>76985.175550439832</v>
      </c>
      <c r="U177" s="5">
        <f t="shared" si="24"/>
        <v>-131.21778776631982</v>
      </c>
    </row>
    <row r="178" spans="2:21" x14ac:dyDescent="0.35">
      <c r="B178">
        <v>862</v>
      </c>
      <c r="C178" s="17">
        <v>7</v>
      </c>
      <c r="D178" s="22" t="s">
        <v>185</v>
      </c>
      <c r="E178" s="90">
        <v>13.03531182914487</v>
      </c>
      <c r="F178" s="90">
        <f>INDEX('Revised 2020 Lockdown'!H$5:H$254,MATCH(B178,'Revised 2020 Lockdown'!B$5:B$254,0))</f>
        <v>13.03531182914487</v>
      </c>
      <c r="G178" s="90">
        <f t="shared" si="18"/>
        <v>0</v>
      </c>
      <c r="H178" s="5">
        <v>11293.56</v>
      </c>
      <c r="I178" s="5">
        <f>INDEX('Revised 2020 Lockdown'!E$5:E$254,MATCH(B178,'Revised 2020 Lockdown'!B$5:B$254,0))</f>
        <v>11293.56</v>
      </c>
      <c r="J178" s="5">
        <f t="shared" si="19"/>
        <v>0</v>
      </c>
      <c r="K178" s="5">
        <v>10454.92</v>
      </c>
      <c r="L178" s="5">
        <f>INDEX('Revised 2020 Lockdown'!F$5:F$254,MATCH(B178,'Revised 2020 Lockdown'!B$5:B$254,0))</f>
        <v>10454.92</v>
      </c>
      <c r="M178" s="5">
        <f t="shared" si="20"/>
        <v>0</v>
      </c>
      <c r="N178" s="5">
        <f t="shared" si="17"/>
        <v>838.63999999999942</v>
      </c>
      <c r="O178" s="60">
        <f>INDEX('Revised 2020 Lockdown'!G$5:G$254,MATCH(B178,'Revised 2020 Lockdown'!B$5:B$254,0))</f>
        <v>838.63999999999942</v>
      </c>
      <c r="P178" s="5">
        <f t="shared" si="21"/>
        <v>0</v>
      </c>
      <c r="Q178" s="58">
        <f t="shared" si="22"/>
        <v>64.336013667500822</v>
      </c>
      <c r="R178" s="96">
        <f t="shared" si="23"/>
        <v>403.71483637349729</v>
      </c>
      <c r="T178" s="96">
        <v>404.40412511359006</v>
      </c>
      <c r="U178" s="5">
        <f t="shared" si="24"/>
        <v>-0.68928874009276342</v>
      </c>
    </row>
    <row r="179" spans="2:21" x14ac:dyDescent="0.35">
      <c r="B179">
        <v>958</v>
      </c>
      <c r="C179" s="17">
        <v>7</v>
      </c>
      <c r="D179" s="22" t="s">
        <v>186</v>
      </c>
      <c r="E179" s="90">
        <v>497.66213501309295</v>
      </c>
      <c r="F179" s="90">
        <f>INDEX('Revised 2020 Lockdown'!H$5:H$254,MATCH(B179,'Revised 2020 Lockdown'!B$5:B$254,0))</f>
        <v>497.66213501309295</v>
      </c>
      <c r="G179" s="90">
        <f t="shared" si="18"/>
        <v>0</v>
      </c>
      <c r="H179" s="5">
        <v>204341.06</v>
      </c>
      <c r="I179" s="5">
        <f>INDEX('Revised 2020 Lockdown'!E$5:E$254,MATCH(B179,'Revised 2020 Lockdown'!B$5:B$254,0))</f>
        <v>204341.06</v>
      </c>
      <c r="J179" s="5">
        <f t="shared" si="19"/>
        <v>0</v>
      </c>
      <c r="K179" s="5">
        <v>123.4</v>
      </c>
      <c r="L179" s="5">
        <f>INDEX('Revised 2020 Lockdown'!F$5:F$254,MATCH(B179,'Revised 2020 Lockdown'!B$5:B$254,0))</f>
        <v>123.4</v>
      </c>
      <c r="M179" s="5">
        <f t="shared" si="20"/>
        <v>0</v>
      </c>
      <c r="N179" s="5">
        <f t="shared" si="17"/>
        <v>204217.66</v>
      </c>
      <c r="O179" s="60">
        <f>INDEX('Revised 2020 Lockdown'!G$5:G$254,MATCH(B179,'Revised 2020 Lockdown'!B$5:B$254,0))</f>
        <v>204217.66</v>
      </c>
      <c r="P179" s="5">
        <f t="shared" si="21"/>
        <v>0</v>
      </c>
      <c r="Q179" s="58">
        <f t="shared" si="22"/>
        <v>410.35402461275714</v>
      </c>
      <c r="R179" s="96">
        <f t="shared" si="23"/>
        <v>98308.808537010598</v>
      </c>
      <c r="T179" s="96">
        <v>98476.657594491859</v>
      </c>
      <c r="U179" s="5">
        <f t="shared" si="24"/>
        <v>-167.84905748126039</v>
      </c>
    </row>
    <row r="180" spans="2:21" x14ac:dyDescent="0.35">
      <c r="B180">
        <v>967</v>
      </c>
      <c r="C180" s="17">
        <v>7</v>
      </c>
      <c r="D180" s="22" t="s">
        <v>187</v>
      </c>
      <c r="E180" s="90">
        <v>180.04372698414895</v>
      </c>
      <c r="F180" s="90">
        <f>INDEX('Revised 2020 Lockdown'!H$5:H$254,MATCH(B180,'Revised 2020 Lockdown'!B$5:B$254,0))</f>
        <v>180.04372698414895</v>
      </c>
      <c r="G180" s="90">
        <f t="shared" si="18"/>
        <v>0</v>
      </c>
      <c r="H180" s="5">
        <v>99984.01</v>
      </c>
      <c r="I180" s="5">
        <f>INDEX('Revised 2020 Lockdown'!E$5:E$254,MATCH(B180,'Revised 2020 Lockdown'!B$5:B$254,0))</f>
        <v>99984.01</v>
      </c>
      <c r="J180" s="5">
        <f t="shared" si="19"/>
        <v>0</v>
      </c>
      <c r="K180" s="5">
        <v>0</v>
      </c>
      <c r="L180" s="5">
        <f>INDEX('Revised 2020 Lockdown'!F$5:F$254,MATCH(B180,'Revised 2020 Lockdown'!B$5:B$254,0))</f>
        <v>0</v>
      </c>
      <c r="M180" s="5">
        <f t="shared" si="20"/>
        <v>0</v>
      </c>
      <c r="N180" s="5">
        <f t="shared" si="17"/>
        <v>99984.01</v>
      </c>
      <c r="O180" s="60">
        <f>INDEX('Revised 2020 Lockdown'!G$5:G$254,MATCH(B180,'Revised 2020 Lockdown'!B$5:B$254,0))</f>
        <v>99984.01</v>
      </c>
      <c r="P180" s="5">
        <f t="shared" si="21"/>
        <v>0</v>
      </c>
      <c r="Q180" s="58">
        <f t="shared" si="22"/>
        <v>555.3318167469539</v>
      </c>
      <c r="R180" s="96">
        <f t="shared" si="23"/>
        <v>48131.532286936163</v>
      </c>
      <c r="T180" s="96">
        <v>48213.71039945443</v>
      </c>
      <c r="U180" s="5">
        <f t="shared" si="24"/>
        <v>-82.178112518267881</v>
      </c>
    </row>
    <row r="181" spans="2:21" x14ac:dyDescent="0.35">
      <c r="B181">
        <v>971</v>
      </c>
      <c r="C181" s="17">
        <v>7</v>
      </c>
      <c r="D181" s="22" t="s">
        <v>188</v>
      </c>
      <c r="E181" s="90">
        <v>902.95999999999992</v>
      </c>
      <c r="F181" s="90">
        <f>INDEX('Revised 2020 Lockdown'!H$5:H$254,MATCH(B181,'Revised 2020 Lockdown'!B$5:B$254,0))</f>
        <v>902.95999999999992</v>
      </c>
      <c r="G181" s="90">
        <f t="shared" si="18"/>
        <v>0</v>
      </c>
      <c r="H181" s="5">
        <v>644373.35</v>
      </c>
      <c r="I181" s="5">
        <f>INDEX('Revised 2020 Lockdown'!E$5:E$254,MATCH(B181,'Revised 2020 Lockdown'!B$5:B$254,0))</f>
        <v>644373.35</v>
      </c>
      <c r="J181" s="5">
        <f t="shared" si="19"/>
        <v>0</v>
      </c>
      <c r="K181" s="5">
        <v>91228.23</v>
      </c>
      <c r="L181" s="5">
        <f>INDEX('Revised 2020 Lockdown'!F$5:F$254,MATCH(B181,'Revised 2020 Lockdown'!B$5:B$254,0))</f>
        <v>91228.23</v>
      </c>
      <c r="M181" s="5">
        <f t="shared" si="20"/>
        <v>0</v>
      </c>
      <c r="N181" s="5">
        <f t="shared" si="17"/>
        <v>553145.12</v>
      </c>
      <c r="O181" s="60">
        <f>INDEX('Revised 2020 Lockdown'!G$5:G$254,MATCH(B181,'Revised 2020 Lockdown'!B$5:B$254,0))</f>
        <v>553145.12</v>
      </c>
      <c r="P181" s="5">
        <f t="shared" si="21"/>
        <v>0</v>
      </c>
      <c r="Q181" s="58">
        <f t="shared" si="22"/>
        <v>612.59094533534164</v>
      </c>
      <c r="R181" s="96">
        <f t="shared" si="23"/>
        <v>266279.80016645842</v>
      </c>
      <c r="T181" s="96">
        <v>266734.43708200409</v>
      </c>
      <c r="U181" s="5">
        <f t="shared" si="24"/>
        <v>-454.63691554567777</v>
      </c>
    </row>
    <row r="182" spans="2:21" x14ac:dyDescent="0.35">
      <c r="B182">
        <v>975</v>
      </c>
      <c r="C182" s="17">
        <v>7</v>
      </c>
      <c r="D182" s="22" t="s">
        <v>189</v>
      </c>
      <c r="E182" s="90">
        <v>19.552967743717307</v>
      </c>
      <c r="F182" s="90">
        <f>INDEX('Revised 2020 Lockdown'!H$5:H$254,MATCH(B182,'Revised 2020 Lockdown'!B$5:B$254,0))</f>
        <v>19.552967743717307</v>
      </c>
      <c r="G182" s="90">
        <f t="shared" si="18"/>
        <v>0</v>
      </c>
      <c r="H182" s="5">
        <v>83056.259999999995</v>
      </c>
      <c r="I182" s="5">
        <f>INDEX('Revised 2020 Lockdown'!E$5:E$254,MATCH(B182,'Revised 2020 Lockdown'!B$5:B$254,0))</f>
        <v>83056.259999999995</v>
      </c>
      <c r="J182" s="5">
        <f t="shared" si="19"/>
        <v>0</v>
      </c>
      <c r="K182" s="5">
        <v>0</v>
      </c>
      <c r="L182" s="5">
        <f>INDEX('Revised 2020 Lockdown'!F$5:F$254,MATCH(B182,'Revised 2020 Lockdown'!B$5:B$254,0))</f>
        <v>0</v>
      </c>
      <c r="M182" s="5">
        <f t="shared" si="20"/>
        <v>0</v>
      </c>
      <c r="N182" s="5">
        <f t="shared" si="17"/>
        <v>83056.259999999995</v>
      </c>
      <c r="O182" s="60">
        <f>INDEX('Revised 2020 Lockdown'!G$5:G$254,MATCH(B182,'Revised 2020 Lockdown'!B$5:B$254,0))</f>
        <v>83056.259999999995</v>
      </c>
      <c r="P182" s="5">
        <f t="shared" si="21"/>
        <v>0</v>
      </c>
      <c r="Q182" s="58">
        <f t="shared" si="22"/>
        <v>4247.7572248175647</v>
      </c>
      <c r="R182" s="96">
        <f t="shared" si="23"/>
        <v>39982.643822968937</v>
      </c>
      <c r="T182" s="96">
        <v>40050.908805335886</v>
      </c>
      <c r="U182" s="5">
        <f t="shared" si="24"/>
        <v>-68.264982366948971</v>
      </c>
    </row>
    <row r="183" spans="2:21" x14ac:dyDescent="0.35">
      <c r="B183">
        <v>976</v>
      </c>
      <c r="C183" s="17">
        <v>7</v>
      </c>
      <c r="D183" s="22" t="s">
        <v>295</v>
      </c>
      <c r="E183" s="90">
        <v>16.321466792467358</v>
      </c>
      <c r="F183" s="90">
        <f>INDEX('Revised 2020 Lockdown'!H$5:H$254,MATCH(B183,'Revised 2020 Lockdown'!B$5:B$254,0))</f>
        <v>16.321466792467358</v>
      </c>
      <c r="G183" s="90">
        <f t="shared" si="18"/>
        <v>0</v>
      </c>
      <c r="H183" s="5">
        <v>69846.58</v>
      </c>
      <c r="I183" s="5">
        <f>INDEX('Revised 2020 Lockdown'!E$5:E$254,MATCH(B183,'Revised 2020 Lockdown'!B$5:B$254,0))</f>
        <v>69846.58</v>
      </c>
      <c r="J183" s="5">
        <f t="shared" si="19"/>
        <v>0</v>
      </c>
      <c r="K183" s="5">
        <v>0</v>
      </c>
      <c r="L183" s="5">
        <f>INDEX('Revised 2020 Lockdown'!F$5:F$254,MATCH(B183,'Revised 2020 Lockdown'!B$5:B$254,0))</f>
        <v>0</v>
      </c>
      <c r="M183" s="5">
        <f t="shared" si="20"/>
        <v>0</v>
      </c>
      <c r="N183" s="5">
        <f t="shared" si="17"/>
        <v>69846.58</v>
      </c>
      <c r="O183" s="60">
        <f>INDEX('Revised 2020 Lockdown'!G$5:G$254,MATCH(B183,'Revised 2020 Lockdown'!B$5:B$254,0))</f>
        <v>69846.58</v>
      </c>
      <c r="P183" s="5">
        <f t="shared" si="21"/>
        <v>0</v>
      </c>
      <c r="Q183" s="58">
        <f t="shared" si="22"/>
        <v>4279.4303286660124</v>
      </c>
      <c r="R183" s="96">
        <f t="shared" si="23"/>
        <v>33623.605618559108</v>
      </c>
      <c r="T183" s="96">
        <v>33681.013399165786</v>
      </c>
      <c r="U183" s="5">
        <f t="shared" si="24"/>
        <v>-57.407780606677989</v>
      </c>
    </row>
    <row r="184" spans="2:21" x14ac:dyDescent="0.35">
      <c r="B184">
        <v>977</v>
      </c>
      <c r="C184" s="17">
        <v>7</v>
      </c>
      <c r="D184" s="22" t="s">
        <v>190</v>
      </c>
      <c r="E184" s="90">
        <v>47.431154642315136</v>
      </c>
      <c r="F184" s="90">
        <f>INDEX('Revised 2020 Lockdown'!H$5:H$254,MATCH(B184,'Revised 2020 Lockdown'!B$5:B$254,0))</f>
        <v>47.431154642315136</v>
      </c>
      <c r="G184" s="90">
        <f t="shared" si="18"/>
        <v>0</v>
      </c>
      <c r="H184" s="5">
        <v>71574.62</v>
      </c>
      <c r="I184" s="5">
        <f>INDEX('Revised 2020 Lockdown'!E$5:E$254,MATCH(B184,'Revised 2020 Lockdown'!B$5:B$254,0))</f>
        <v>71574.62</v>
      </c>
      <c r="J184" s="5">
        <f t="shared" si="19"/>
        <v>0</v>
      </c>
      <c r="K184" s="5">
        <v>0</v>
      </c>
      <c r="L184" s="5">
        <f>INDEX('Revised 2020 Lockdown'!F$5:F$254,MATCH(B184,'Revised 2020 Lockdown'!B$5:B$254,0))</f>
        <v>0</v>
      </c>
      <c r="M184" s="5">
        <f t="shared" si="20"/>
        <v>0</v>
      </c>
      <c r="N184" s="5">
        <f t="shared" si="17"/>
        <v>71574.62</v>
      </c>
      <c r="O184" s="60">
        <f>INDEX('Revised 2020 Lockdown'!G$5:G$254,MATCH(B184,'Revised 2020 Lockdown'!B$5:B$254,0))</f>
        <v>71574.62</v>
      </c>
      <c r="P184" s="5">
        <f t="shared" si="21"/>
        <v>0</v>
      </c>
      <c r="Q184" s="58">
        <f t="shared" si="22"/>
        <v>1509.0212443646808</v>
      </c>
      <c r="R184" s="96">
        <f t="shared" si="23"/>
        <v>34455.470764327081</v>
      </c>
      <c r="T184" s="96">
        <v>34514.298842694938</v>
      </c>
      <c r="U184" s="5">
        <f t="shared" si="24"/>
        <v>-58.828078367856506</v>
      </c>
    </row>
    <row r="185" spans="2:21" x14ac:dyDescent="0.35">
      <c r="B185">
        <v>981</v>
      </c>
      <c r="C185" s="17">
        <v>7</v>
      </c>
      <c r="D185" s="22" t="s">
        <v>191</v>
      </c>
      <c r="E185" s="90">
        <v>228.7088911462898</v>
      </c>
      <c r="F185" s="90">
        <f>INDEX('Revised 2020 Lockdown'!H$5:H$254,MATCH(B185,'Revised 2020 Lockdown'!B$5:B$254,0))</f>
        <v>228.7088911462898</v>
      </c>
      <c r="G185" s="90">
        <f t="shared" si="18"/>
        <v>0</v>
      </c>
      <c r="H185" s="5">
        <v>153688.72</v>
      </c>
      <c r="I185" s="5">
        <f>INDEX('Revised 2020 Lockdown'!E$5:E$254,MATCH(B185,'Revised 2020 Lockdown'!B$5:B$254,0))</f>
        <v>153688.72</v>
      </c>
      <c r="J185" s="5">
        <f t="shared" si="19"/>
        <v>0</v>
      </c>
      <c r="K185" s="5">
        <v>26749</v>
      </c>
      <c r="L185" s="5">
        <f>INDEX('Revised 2020 Lockdown'!F$5:F$254,MATCH(B185,'Revised 2020 Lockdown'!B$5:B$254,0))</f>
        <v>26749</v>
      </c>
      <c r="M185" s="5">
        <f t="shared" si="20"/>
        <v>0</v>
      </c>
      <c r="N185" s="5">
        <f t="shared" si="17"/>
        <v>126939.72</v>
      </c>
      <c r="O185" s="60">
        <f>INDEX('Revised 2020 Lockdown'!G$5:G$254,MATCH(B185,'Revised 2020 Lockdown'!B$5:B$254,0))</f>
        <v>126939.72</v>
      </c>
      <c r="P185" s="5">
        <f t="shared" si="21"/>
        <v>0</v>
      </c>
      <c r="Q185" s="58">
        <f t="shared" si="22"/>
        <v>555.0274821576794</v>
      </c>
      <c r="R185" s="96">
        <f t="shared" si="23"/>
        <v>61107.80345451874</v>
      </c>
      <c r="T185" s="96">
        <v>61212.136803353198</v>
      </c>
      <c r="U185" s="5">
        <f t="shared" si="24"/>
        <v>-104.33334883445787</v>
      </c>
    </row>
    <row r="186" spans="2:21" x14ac:dyDescent="0.35">
      <c r="B186">
        <v>983</v>
      </c>
      <c r="C186" s="17">
        <v>7</v>
      </c>
      <c r="D186" s="22" t="s">
        <v>192</v>
      </c>
      <c r="E186" s="90">
        <v>54.732997336310582</v>
      </c>
      <c r="F186" s="90">
        <f>INDEX('Revised 2020 Lockdown'!H$5:H$254,MATCH(B186,'Revised 2020 Lockdown'!B$5:B$254,0))</f>
        <v>54.732997336310582</v>
      </c>
      <c r="G186" s="90">
        <f t="shared" si="18"/>
        <v>0</v>
      </c>
      <c r="H186" s="5">
        <v>48719.55</v>
      </c>
      <c r="I186" s="5">
        <f>INDEX('Revised 2020 Lockdown'!E$5:E$254,MATCH(B186,'Revised 2020 Lockdown'!B$5:B$254,0))</f>
        <v>48719.55</v>
      </c>
      <c r="J186" s="5">
        <f t="shared" si="19"/>
        <v>0</v>
      </c>
      <c r="K186" s="5">
        <v>0</v>
      </c>
      <c r="L186" s="5">
        <f>INDEX('Revised 2020 Lockdown'!F$5:F$254,MATCH(B186,'Revised 2020 Lockdown'!B$5:B$254,0))</f>
        <v>0</v>
      </c>
      <c r="M186" s="5">
        <f t="shared" si="20"/>
        <v>0</v>
      </c>
      <c r="N186" s="5">
        <f t="shared" si="17"/>
        <v>48719.55</v>
      </c>
      <c r="O186" s="60">
        <f>INDEX('Revised 2020 Lockdown'!G$5:G$254,MATCH(B186,'Revised 2020 Lockdown'!B$5:B$254,0))</f>
        <v>48719.55</v>
      </c>
      <c r="P186" s="5">
        <f t="shared" si="21"/>
        <v>0</v>
      </c>
      <c r="Q186" s="58">
        <f t="shared" si="22"/>
        <v>890.13122560490251</v>
      </c>
      <c r="R186" s="96">
        <f t="shared" si="23"/>
        <v>23453.216107555607</v>
      </c>
      <c r="T186" s="96">
        <v>23493.259317082207</v>
      </c>
      <c r="U186" s="5">
        <f t="shared" si="24"/>
        <v>-40.043209526600549</v>
      </c>
    </row>
    <row r="187" spans="2:21" x14ac:dyDescent="0.35">
      <c r="B187">
        <v>984</v>
      </c>
      <c r="C187" s="17">
        <v>7</v>
      </c>
      <c r="D187" s="22" t="s">
        <v>193</v>
      </c>
      <c r="E187" s="90">
        <v>21.299699528822721</v>
      </c>
      <c r="F187" s="90">
        <f>INDEX('Revised 2020 Lockdown'!H$5:H$254,MATCH(B187,'Revised 2020 Lockdown'!B$5:B$254,0))</f>
        <v>21.299699528822721</v>
      </c>
      <c r="G187" s="90">
        <f t="shared" si="18"/>
        <v>0</v>
      </c>
      <c r="H187" s="5">
        <v>16433.05</v>
      </c>
      <c r="I187" s="5">
        <f>INDEX('Revised 2020 Lockdown'!E$5:E$254,MATCH(B187,'Revised 2020 Lockdown'!B$5:B$254,0))</f>
        <v>16433.05</v>
      </c>
      <c r="J187" s="5">
        <f t="shared" si="19"/>
        <v>0</v>
      </c>
      <c r="K187" s="5">
        <v>0</v>
      </c>
      <c r="L187" s="5">
        <f>INDEX('Revised 2020 Lockdown'!F$5:F$254,MATCH(B187,'Revised 2020 Lockdown'!B$5:B$254,0))</f>
        <v>0</v>
      </c>
      <c r="M187" s="5">
        <f t="shared" si="20"/>
        <v>0</v>
      </c>
      <c r="N187" s="5">
        <f t="shared" si="17"/>
        <v>16433.05</v>
      </c>
      <c r="O187" s="60">
        <f>INDEX('Revised 2020 Lockdown'!G$5:G$254,MATCH(B187,'Revised 2020 Lockdown'!B$5:B$254,0))</f>
        <v>16433.05</v>
      </c>
      <c r="P187" s="5">
        <f t="shared" si="21"/>
        <v>0</v>
      </c>
      <c r="Q187" s="58">
        <f t="shared" si="22"/>
        <v>771.51557831897208</v>
      </c>
      <c r="R187" s="96">
        <f t="shared" si="23"/>
        <v>7910.743694395097</v>
      </c>
      <c r="T187" s="96">
        <v>7924.2502244084299</v>
      </c>
      <c r="U187" s="5">
        <f t="shared" si="24"/>
        <v>-13.506530013332849</v>
      </c>
    </row>
    <row r="188" spans="2:21" x14ac:dyDescent="0.35">
      <c r="B188">
        <v>188</v>
      </c>
      <c r="C188" s="17">
        <v>8</v>
      </c>
      <c r="D188" s="22" t="s">
        <v>194</v>
      </c>
      <c r="E188" s="90">
        <v>176.85</v>
      </c>
      <c r="F188" s="90">
        <f>INDEX('Revised 2020 Lockdown'!H$5:H$254,MATCH(B188,'Revised 2020 Lockdown'!B$5:B$254,0))</f>
        <v>176.85</v>
      </c>
      <c r="G188" s="90">
        <f t="shared" si="18"/>
        <v>0</v>
      </c>
      <c r="H188" s="5">
        <v>138796.34</v>
      </c>
      <c r="I188" s="5">
        <f>INDEX('Revised 2020 Lockdown'!E$5:E$254,MATCH(B188,'Revised 2020 Lockdown'!B$5:B$254,0))</f>
        <v>138796.34</v>
      </c>
      <c r="J188" s="5">
        <f t="shared" si="19"/>
        <v>0</v>
      </c>
      <c r="K188" s="5">
        <v>8321.23</v>
      </c>
      <c r="L188" s="5">
        <f>INDEX('Revised 2020 Lockdown'!F$5:F$254,MATCH(B188,'Revised 2020 Lockdown'!B$5:B$254,0))</f>
        <v>8321.23</v>
      </c>
      <c r="M188" s="5">
        <f t="shared" si="20"/>
        <v>0</v>
      </c>
      <c r="N188" s="5">
        <f t="shared" si="17"/>
        <v>130475.11</v>
      </c>
      <c r="O188" s="60">
        <f>INDEX('Revised 2020 Lockdown'!G$5:G$254,MATCH(B188,'Revised 2020 Lockdown'!B$5:B$254,0))</f>
        <v>130475.11</v>
      </c>
      <c r="P188" s="5">
        <f t="shared" si="21"/>
        <v>0</v>
      </c>
      <c r="Q188" s="58">
        <f t="shared" si="22"/>
        <v>737.77274526434837</v>
      </c>
      <c r="R188" s="96">
        <f t="shared" si="23"/>
        <v>62809.712969169246</v>
      </c>
      <c r="T188" s="96">
        <v>62916.952099410308</v>
      </c>
      <c r="U188" s="5">
        <f t="shared" si="24"/>
        <v>-107.2391302410615</v>
      </c>
    </row>
    <row r="189" spans="2:21" x14ac:dyDescent="0.35">
      <c r="B189">
        <v>232</v>
      </c>
      <c r="C189" s="17">
        <v>8</v>
      </c>
      <c r="D189" s="22" t="s">
        <v>195</v>
      </c>
      <c r="E189" s="90">
        <v>92.941773341802914</v>
      </c>
      <c r="F189" s="90">
        <f>INDEX('Revised 2020 Lockdown'!H$5:H$254,MATCH(B189,'Revised 2020 Lockdown'!B$5:B$254,0))</f>
        <v>92.941773341802914</v>
      </c>
      <c r="G189" s="90">
        <f t="shared" si="18"/>
        <v>0</v>
      </c>
      <c r="H189" s="5">
        <v>144439.21</v>
      </c>
      <c r="I189" s="5">
        <f>INDEX('Revised 2020 Lockdown'!E$5:E$254,MATCH(B189,'Revised 2020 Lockdown'!B$5:B$254,0))</f>
        <v>144439.21</v>
      </c>
      <c r="J189" s="5">
        <f t="shared" si="19"/>
        <v>0</v>
      </c>
      <c r="K189" s="5">
        <v>0</v>
      </c>
      <c r="L189" s="5">
        <f>INDEX('Revised 2020 Lockdown'!F$5:F$254,MATCH(B189,'Revised 2020 Lockdown'!B$5:B$254,0))</f>
        <v>0</v>
      </c>
      <c r="M189" s="5">
        <f t="shared" si="20"/>
        <v>0</v>
      </c>
      <c r="N189" s="5">
        <f t="shared" si="17"/>
        <v>144439.21</v>
      </c>
      <c r="O189" s="60">
        <f>INDEX('Revised 2020 Lockdown'!G$5:G$254,MATCH(B189,'Revised 2020 Lockdown'!B$5:B$254,0))</f>
        <v>144439.21</v>
      </c>
      <c r="P189" s="5">
        <f t="shared" si="21"/>
        <v>0</v>
      </c>
      <c r="Q189" s="58">
        <f t="shared" si="22"/>
        <v>1554.0827854533179</v>
      </c>
      <c r="R189" s="96">
        <f t="shared" si="23"/>
        <v>69531.923150657312</v>
      </c>
      <c r="T189" s="96">
        <v>69650.639549923857</v>
      </c>
      <c r="U189" s="5">
        <f t="shared" si="24"/>
        <v>-118.71639926654461</v>
      </c>
    </row>
    <row r="190" spans="2:21" x14ac:dyDescent="0.35">
      <c r="B190">
        <v>245</v>
      </c>
      <c r="C190" s="17">
        <v>8</v>
      </c>
      <c r="D190" s="22" t="s">
        <v>196</v>
      </c>
      <c r="E190" s="90">
        <v>224.32999999999998</v>
      </c>
      <c r="F190" s="90">
        <f>INDEX('Revised 2020 Lockdown'!H$5:H$254,MATCH(B190,'Revised 2020 Lockdown'!B$5:B$254,0))</f>
        <v>224.32999999999998</v>
      </c>
      <c r="G190" s="90">
        <f t="shared" si="18"/>
        <v>0</v>
      </c>
      <c r="H190" s="5">
        <v>721067.3</v>
      </c>
      <c r="I190" s="5">
        <f>INDEX('Revised 2020 Lockdown'!E$5:E$254,MATCH(B190,'Revised 2020 Lockdown'!B$5:B$254,0))</f>
        <v>721067.3</v>
      </c>
      <c r="J190" s="5">
        <f t="shared" si="19"/>
        <v>0</v>
      </c>
      <c r="K190" s="5">
        <v>0</v>
      </c>
      <c r="L190" s="5">
        <f>INDEX('Revised 2020 Lockdown'!F$5:F$254,MATCH(B190,'Revised 2020 Lockdown'!B$5:B$254,0))</f>
        <v>0</v>
      </c>
      <c r="M190" s="5">
        <f t="shared" si="20"/>
        <v>0</v>
      </c>
      <c r="N190" s="5">
        <f t="shared" si="17"/>
        <v>721067.3</v>
      </c>
      <c r="O190" s="60">
        <f>INDEX('Revised 2020 Lockdown'!G$5:G$254,MATCH(B190,'Revised 2020 Lockdown'!B$5:B$254,0))</f>
        <v>721067.3</v>
      </c>
      <c r="P190" s="5">
        <f t="shared" si="21"/>
        <v>0</v>
      </c>
      <c r="Q190" s="58">
        <f t="shared" si="22"/>
        <v>3214.315071546383</v>
      </c>
      <c r="R190" s="96">
        <f t="shared" si="23"/>
        <v>347116.24419748608</v>
      </c>
      <c r="T190" s="96">
        <v>347708.8984600291</v>
      </c>
      <c r="U190" s="5">
        <f t="shared" si="24"/>
        <v>-592.65426254301565</v>
      </c>
    </row>
    <row r="191" spans="2:21" x14ac:dyDescent="0.35">
      <c r="B191">
        <v>372</v>
      </c>
      <c r="C191" s="17">
        <v>8</v>
      </c>
      <c r="D191" s="22" t="s">
        <v>197</v>
      </c>
      <c r="E191" s="90">
        <v>146.79999999999998</v>
      </c>
      <c r="F191" s="90">
        <f>INDEX('Revised 2020 Lockdown'!H$5:H$254,MATCH(B191,'Revised 2020 Lockdown'!B$5:B$254,0))</f>
        <v>146.79999999999998</v>
      </c>
      <c r="G191" s="90">
        <f t="shared" si="18"/>
        <v>0</v>
      </c>
      <c r="H191" s="5">
        <v>119428.68</v>
      </c>
      <c r="I191" s="5">
        <f>INDEX('Revised 2020 Lockdown'!E$5:E$254,MATCH(B191,'Revised 2020 Lockdown'!B$5:B$254,0))</f>
        <v>119428.68</v>
      </c>
      <c r="J191" s="5">
        <f t="shared" si="19"/>
        <v>0</v>
      </c>
      <c r="K191" s="5">
        <v>0</v>
      </c>
      <c r="L191" s="5">
        <f>INDEX('Revised 2020 Lockdown'!F$5:F$254,MATCH(B191,'Revised 2020 Lockdown'!B$5:B$254,0))</f>
        <v>0</v>
      </c>
      <c r="M191" s="5">
        <f t="shared" si="20"/>
        <v>0</v>
      </c>
      <c r="N191" s="5">
        <f t="shared" si="17"/>
        <v>119428.68</v>
      </c>
      <c r="O191" s="60">
        <f>INDEX('Revised 2020 Lockdown'!G$5:G$254,MATCH(B191,'Revised 2020 Lockdown'!B$5:B$254,0))</f>
        <v>119428.68</v>
      </c>
      <c r="P191" s="5">
        <f t="shared" si="21"/>
        <v>0</v>
      </c>
      <c r="Q191" s="58">
        <f t="shared" si="22"/>
        <v>813.54686648501365</v>
      </c>
      <c r="R191" s="96">
        <f t="shared" si="23"/>
        <v>57492.046652321376</v>
      </c>
      <c r="T191" s="96">
        <v>57590.2065831238</v>
      </c>
      <c r="U191" s="5">
        <f t="shared" si="24"/>
        <v>-98.159930802423332</v>
      </c>
    </row>
    <row r="192" spans="2:21" x14ac:dyDescent="0.35">
      <c r="B192">
        <v>375</v>
      </c>
      <c r="C192" s="17">
        <v>8</v>
      </c>
      <c r="D192" s="22" t="s">
        <v>198</v>
      </c>
      <c r="E192" s="90">
        <v>165.67999999999998</v>
      </c>
      <c r="F192" s="90">
        <f>INDEX('Revised 2020 Lockdown'!H$5:H$254,MATCH(B192,'Revised 2020 Lockdown'!B$5:B$254,0))</f>
        <v>165.67999999999998</v>
      </c>
      <c r="G192" s="90">
        <f t="shared" si="18"/>
        <v>0</v>
      </c>
      <c r="H192" s="5">
        <v>256512.41</v>
      </c>
      <c r="I192" s="5">
        <f>INDEX('Revised 2020 Lockdown'!E$5:E$254,MATCH(B192,'Revised 2020 Lockdown'!B$5:B$254,0))</f>
        <v>256512.41</v>
      </c>
      <c r="J192" s="5">
        <f t="shared" si="19"/>
        <v>0</v>
      </c>
      <c r="K192" s="5">
        <v>0</v>
      </c>
      <c r="L192" s="5">
        <f>INDEX('Revised 2020 Lockdown'!F$5:F$254,MATCH(B192,'Revised 2020 Lockdown'!B$5:B$254,0))</f>
        <v>0</v>
      </c>
      <c r="M192" s="5">
        <f t="shared" si="20"/>
        <v>0</v>
      </c>
      <c r="N192" s="5">
        <f t="shared" si="17"/>
        <v>256512.41</v>
      </c>
      <c r="O192" s="60">
        <f>INDEX('Revised 2020 Lockdown'!G$5:G$254,MATCH(B192,'Revised 2020 Lockdown'!B$5:B$254,0))</f>
        <v>256512.41</v>
      </c>
      <c r="P192" s="5">
        <f t="shared" si="21"/>
        <v>0</v>
      </c>
      <c r="Q192" s="58">
        <f t="shared" si="22"/>
        <v>1548.2400410429746</v>
      </c>
      <c r="R192" s="96">
        <f t="shared" si="23"/>
        <v>123483.0983865801</v>
      </c>
      <c r="T192" s="96">
        <v>123693.92915533314</v>
      </c>
      <c r="U192" s="5">
        <f t="shared" si="24"/>
        <v>-210.83076875304687</v>
      </c>
    </row>
    <row r="193" spans="2:21" x14ac:dyDescent="0.35">
      <c r="B193">
        <v>404</v>
      </c>
      <c r="C193" s="17">
        <v>8</v>
      </c>
      <c r="D193" s="22" t="s">
        <v>199</v>
      </c>
      <c r="E193" s="90">
        <v>637.91</v>
      </c>
      <c r="F193" s="90">
        <f>INDEX('Revised 2020 Lockdown'!H$5:H$254,MATCH(B193,'Revised 2020 Lockdown'!B$5:B$254,0))</f>
        <v>637.91</v>
      </c>
      <c r="G193" s="90">
        <f t="shared" si="18"/>
        <v>0</v>
      </c>
      <c r="H193" s="5">
        <v>352203.44</v>
      </c>
      <c r="I193" s="5">
        <f>INDEX('Revised 2020 Lockdown'!E$5:E$254,MATCH(B193,'Revised 2020 Lockdown'!B$5:B$254,0))</f>
        <v>352203.44</v>
      </c>
      <c r="J193" s="5">
        <f t="shared" si="19"/>
        <v>0</v>
      </c>
      <c r="K193" s="5">
        <v>10126.56</v>
      </c>
      <c r="L193" s="5">
        <f>INDEX('Revised 2020 Lockdown'!F$5:F$254,MATCH(B193,'Revised 2020 Lockdown'!B$5:B$254,0))</f>
        <v>10126.56</v>
      </c>
      <c r="M193" s="5">
        <f t="shared" si="20"/>
        <v>0</v>
      </c>
      <c r="N193" s="5">
        <f t="shared" si="17"/>
        <v>342076.88</v>
      </c>
      <c r="O193" s="60">
        <f>INDEX('Revised 2020 Lockdown'!G$5:G$254,MATCH(B193,'Revised 2020 Lockdown'!B$5:B$254,0))</f>
        <v>342076.88</v>
      </c>
      <c r="P193" s="5">
        <f t="shared" si="21"/>
        <v>0</v>
      </c>
      <c r="Q193" s="58">
        <f t="shared" si="22"/>
        <v>536.24630433760251</v>
      </c>
      <c r="R193" s="96">
        <f t="shared" si="23"/>
        <v>164673.17518405581</v>
      </c>
      <c r="T193" s="96">
        <v>164954.33246445033</v>
      </c>
      <c r="U193" s="5">
        <f t="shared" si="24"/>
        <v>-281.15728039451642</v>
      </c>
    </row>
    <row r="194" spans="2:21" x14ac:dyDescent="0.35">
      <c r="B194">
        <v>413</v>
      </c>
      <c r="C194" s="17">
        <v>8</v>
      </c>
      <c r="D194" s="22" t="s">
        <v>200</v>
      </c>
      <c r="E194" s="90">
        <v>82.92</v>
      </c>
      <c r="F194" s="90">
        <f>INDEX('Revised 2020 Lockdown'!H$5:H$254,MATCH(B194,'Revised 2020 Lockdown'!B$5:B$254,0))</f>
        <v>82.92</v>
      </c>
      <c r="G194" s="90">
        <f t="shared" si="18"/>
        <v>0</v>
      </c>
      <c r="H194" s="5">
        <v>71315.58</v>
      </c>
      <c r="I194" s="5">
        <f>INDEX('Revised 2020 Lockdown'!E$5:E$254,MATCH(B194,'Revised 2020 Lockdown'!B$5:B$254,0))</f>
        <v>71315.58</v>
      </c>
      <c r="J194" s="5">
        <f t="shared" si="19"/>
        <v>0</v>
      </c>
      <c r="K194" s="5">
        <v>44</v>
      </c>
      <c r="L194" s="5">
        <f>INDEX('Revised 2020 Lockdown'!F$5:F$254,MATCH(B194,'Revised 2020 Lockdown'!B$5:B$254,0))</f>
        <v>44</v>
      </c>
      <c r="M194" s="5">
        <f t="shared" si="20"/>
        <v>0</v>
      </c>
      <c r="N194" s="5">
        <f t="shared" si="17"/>
        <v>71271.58</v>
      </c>
      <c r="O194" s="60">
        <f>INDEX('Revised 2020 Lockdown'!G$5:G$254,MATCH(B194,'Revised 2020 Lockdown'!B$5:B$254,0))</f>
        <v>71271.58</v>
      </c>
      <c r="P194" s="5">
        <f t="shared" si="21"/>
        <v>0</v>
      </c>
      <c r="Q194" s="58">
        <f t="shared" si="22"/>
        <v>859.52219006271105</v>
      </c>
      <c r="R194" s="96">
        <f t="shared" si="23"/>
        <v>34309.589642493374</v>
      </c>
      <c r="T194" s="96">
        <v>34368.16864848238</v>
      </c>
      <c r="U194" s="5">
        <f t="shared" si="24"/>
        <v>-58.579005989005964</v>
      </c>
    </row>
    <row r="195" spans="2:21" x14ac:dyDescent="0.35">
      <c r="B195">
        <v>537</v>
      </c>
      <c r="C195" s="17">
        <v>8</v>
      </c>
      <c r="D195" s="22" t="s">
        <v>201</v>
      </c>
      <c r="E195" s="90">
        <v>11.850041107387474</v>
      </c>
      <c r="F195" s="90">
        <f>INDEX('Revised 2020 Lockdown'!H$5:H$254,MATCH(B195,'Revised 2020 Lockdown'!B$5:B$254,0))</f>
        <v>11.850041107387474</v>
      </c>
      <c r="G195" s="90">
        <f t="shared" si="18"/>
        <v>0</v>
      </c>
      <c r="H195" s="5">
        <v>9233.09</v>
      </c>
      <c r="I195" s="5">
        <f>INDEX('Revised 2020 Lockdown'!E$5:E$254,MATCH(B195,'Revised 2020 Lockdown'!B$5:B$254,0))</f>
        <v>9233.09</v>
      </c>
      <c r="J195" s="5">
        <f t="shared" si="19"/>
        <v>0</v>
      </c>
      <c r="K195" s="5">
        <v>0</v>
      </c>
      <c r="L195" s="5">
        <f>INDEX('Revised 2020 Lockdown'!F$5:F$254,MATCH(B195,'Revised 2020 Lockdown'!B$5:B$254,0))</f>
        <v>0</v>
      </c>
      <c r="M195" s="5">
        <f t="shared" si="20"/>
        <v>0</v>
      </c>
      <c r="N195" s="5">
        <f t="shared" si="17"/>
        <v>9233.09</v>
      </c>
      <c r="O195" s="60">
        <f>INDEX('Revised 2020 Lockdown'!G$5:G$254,MATCH(B195,'Revised 2020 Lockdown'!B$5:B$254,0))</f>
        <v>9233.09</v>
      </c>
      <c r="P195" s="5">
        <f t="shared" si="21"/>
        <v>0</v>
      </c>
      <c r="Q195" s="58">
        <f t="shared" si="22"/>
        <v>779.16101018788606</v>
      </c>
      <c r="R195" s="96">
        <f t="shared" si="23"/>
        <v>4444.7384081033306</v>
      </c>
      <c r="T195" s="96">
        <v>4452.3272006403695</v>
      </c>
      <c r="U195" s="5">
        <f t="shared" si="24"/>
        <v>-7.5887925370388984</v>
      </c>
    </row>
    <row r="196" spans="2:21" x14ac:dyDescent="0.35">
      <c r="B196">
        <v>545</v>
      </c>
      <c r="C196" s="17">
        <v>8</v>
      </c>
      <c r="D196" s="22" t="s">
        <v>202</v>
      </c>
      <c r="E196" s="90">
        <v>15.78141752115139</v>
      </c>
      <c r="F196" s="90">
        <f>INDEX('Revised 2020 Lockdown'!H$5:H$254,MATCH(B196,'Revised 2020 Lockdown'!B$5:B$254,0))</f>
        <v>15.78141752115139</v>
      </c>
      <c r="G196" s="90">
        <f t="shared" si="18"/>
        <v>0</v>
      </c>
      <c r="H196" s="5">
        <v>8210.99</v>
      </c>
      <c r="I196" s="5">
        <f>INDEX('Revised 2020 Lockdown'!E$5:E$254,MATCH(B196,'Revised 2020 Lockdown'!B$5:B$254,0))</f>
        <v>8210.99</v>
      </c>
      <c r="J196" s="5">
        <f t="shared" si="19"/>
        <v>0</v>
      </c>
      <c r="K196" s="5">
        <v>0</v>
      </c>
      <c r="L196" s="5">
        <f>INDEX('Revised 2020 Lockdown'!F$5:F$254,MATCH(B196,'Revised 2020 Lockdown'!B$5:B$254,0))</f>
        <v>0</v>
      </c>
      <c r="M196" s="5">
        <f t="shared" si="20"/>
        <v>0</v>
      </c>
      <c r="N196" s="5">
        <f t="shared" si="17"/>
        <v>8210.99</v>
      </c>
      <c r="O196" s="60">
        <f>INDEX('Revised 2020 Lockdown'!G$5:G$254,MATCH(B196,'Revised 2020 Lockdown'!B$5:B$254,0))</f>
        <v>8210.99</v>
      </c>
      <c r="P196" s="5">
        <f t="shared" si="21"/>
        <v>0</v>
      </c>
      <c r="Q196" s="58">
        <f t="shared" si="22"/>
        <v>520.29483340105799</v>
      </c>
      <c r="R196" s="96">
        <f t="shared" si="23"/>
        <v>3952.7073408308988</v>
      </c>
      <c r="T196" s="96">
        <v>3959.4560565516063</v>
      </c>
      <c r="U196" s="5">
        <f t="shared" si="24"/>
        <v>-6.7487157207074233</v>
      </c>
    </row>
    <row r="197" spans="2:21" x14ac:dyDescent="0.35">
      <c r="B197">
        <v>605</v>
      </c>
      <c r="C197" s="17">
        <v>8</v>
      </c>
      <c r="D197" s="22" t="s">
        <v>203</v>
      </c>
      <c r="E197" s="90">
        <v>11.644019787426455</v>
      </c>
      <c r="F197" s="90">
        <f>INDEX('Revised 2020 Lockdown'!H$5:H$254,MATCH(B197,'Revised 2020 Lockdown'!B$5:B$254,0))</f>
        <v>11.644019787426455</v>
      </c>
      <c r="G197" s="90">
        <f t="shared" si="18"/>
        <v>0</v>
      </c>
      <c r="H197" s="5">
        <v>9297.0300000000007</v>
      </c>
      <c r="I197" s="5">
        <f>INDEX('Revised 2020 Lockdown'!E$5:E$254,MATCH(B197,'Revised 2020 Lockdown'!B$5:B$254,0))</f>
        <v>9297.0300000000007</v>
      </c>
      <c r="J197" s="5">
        <f t="shared" si="19"/>
        <v>0</v>
      </c>
      <c r="K197" s="5">
        <v>0</v>
      </c>
      <c r="L197" s="5">
        <f>INDEX('Revised 2020 Lockdown'!F$5:F$254,MATCH(B197,'Revised 2020 Lockdown'!B$5:B$254,0))</f>
        <v>0</v>
      </c>
      <c r="M197" s="5">
        <f t="shared" si="20"/>
        <v>0</v>
      </c>
      <c r="N197" s="5">
        <f t="shared" si="17"/>
        <v>9297.0300000000007</v>
      </c>
      <c r="O197" s="60">
        <f>INDEX('Revised 2020 Lockdown'!G$5:G$254,MATCH(B197,'Revised 2020 Lockdown'!B$5:B$254,0))</f>
        <v>9297.0300000000007</v>
      </c>
      <c r="P197" s="5">
        <f t="shared" si="21"/>
        <v>0</v>
      </c>
      <c r="Q197" s="58">
        <f t="shared" si="22"/>
        <v>798.43818283778592</v>
      </c>
      <c r="R197" s="96">
        <f t="shared" si="23"/>
        <v>4475.518631605335</v>
      </c>
      <c r="T197" s="96">
        <v>4483.1599772307582</v>
      </c>
      <c r="U197" s="5">
        <f t="shared" si="24"/>
        <v>-7.6413456254231278</v>
      </c>
    </row>
    <row r="198" spans="2:21" x14ac:dyDescent="0.35">
      <c r="B198">
        <v>607</v>
      </c>
      <c r="C198" s="17">
        <v>8</v>
      </c>
      <c r="D198" s="22" t="s">
        <v>204</v>
      </c>
      <c r="E198" s="90">
        <v>17.473660100397499</v>
      </c>
      <c r="F198" s="90">
        <f>INDEX('Revised 2020 Lockdown'!H$5:H$254,MATCH(B198,'Revised 2020 Lockdown'!B$5:B$254,0))</f>
        <v>17.473660100397499</v>
      </c>
      <c r="G198" s="90">
        <f t="shared" si="18"/>
        <v>0</v>
      </c>
      <c r="H198" s="5">
        <v>13913.45</v>
      </c>
      <c r="I198" s="5">
        <f>INDEX('Revised 2020 Lockdown'!E$5:E$254,MATCH(B198,'Revised 2020 Lockdown'!B$5:B$254,0))</f>
        <v>13913.45</v>
      </c>
      <c r="J198" s="5">
        <f t="shared" si="19"/>
        <v>0</v>
      </c>
      <c r="K198" s="5">
        <v>0</v>
      </c>
      <c r="L198" s="5">
        <f>INDEX('Revised 2020 Lockdown'!F$5:F$254,MATCH(B198,'Revised 2020 Lockdown'!B$5:B$254,0))</f>
        <v>0</v>
      </c>
      <c r="M198" s="5">
        <f t="shared" si="20"/>
        <v>0</v>
      </c>
      <c r="N198" s="5">
        <f t="shared" si="17"/>
        <v>13913.45</v>
      </c>
      <c r="O198" s="60">
        <f>INDEX('Revised 2020 Lockdown'!G$5:G$254,MATCH(B198,'Revised 2020 Lockdown'!B$5:B$254,0))</f>
        <v>13913.45</v>
      </c>
      <c r="P198" s="5">
        <f t="shared" si="21"/>
        <v>0</v>
      </c>
      <c r="Q198" s="58">
        <f t="shared" si="22"/>
        <v>796.25275529329372</v>
      </c>
      <c r="R198" s="96">
        <f t="shared" si="23"/>
        <v>6697.8276616198136</v>
      </c>
      <c r="T198" s="96">
        <v>6709.2633007746872</v>
      </c>
      <c r="U198" s="5">
        <f t="shared" si="24"/>
        <v>-11.43563915487357</v>
      </c>
    </row>
    <row r="199" spans="2:21" x14ac:dyDescent="0.35">
      <c r="B199">
        <v>610</v>
      </c>
      <c r="C199" s="17">
        <v>8</v>
      </c>
      <c r="D199" s="22" t="s">
        <v>205</v>
      </c>
      <c r="E199" s="90">
        <v>75.19636883839371</v>
      </c>
      <c r="F199" s="90">
        <f>INDEX('Revised 2020 Lockdown'!H$5:H$254,MATCH(B199,'Revised 2020 Lockdown'!B$5:B$254,0))</f>
        <v>75.19636883839371</v>
      </c>
      <c r="G199" s="90">
        <f t="shared" si="18"/>
        <v>0</v>
      </c>
      <c r="H199" s="5">
        <v>39795.599999999999</v>
      </c>
      <c r="I199" s="5">
        <f>INDEX('Revised 2020 Lockdown'!E$5:E$254,MATCH(B199,'Revised 2020 Lockdown'!B$5:B$254,0))</f>
        <v>39795.599999999999</v>
      </c>
      <c r="J199" s="5">
        <f t="shared" si="19"/>
        <v>0</v>
      </c>
      <c r="K199" s="5">
        <v>0</v>
      </c>
      <c r="L199" s="5">
        <f>INDEX('Revised 2020 Lockdown'!F$5:F$254,MATCH(B199,'Revised 2020 Lockdown'!B$5:B$254,0))</f>
        <v>0</v>
      </c>
      <c r="M199" s="5">
        <f t="shared" si="20"/>
        <v>0</v>
      </c>
      <c r="N199" s="5">
        <f t="shared" si="17"/>
        <v>39795.599999999999</v>
      </c>
      <c r="O199" s="60">
        <f>INDEX('Revised 2020 Lockdown'!G$5:G$254,MATCH(B199,'Revised 2020 Lockdown'!B$5:B$254,0))</f>
        <v>39795.599999999999</v>
      </c>
      <c r="P199" s="5">
        <f t="shared" si="21"/>
        <v>0</v>
      </c>
      <c r="Q199" s="58">
        <f t="shared" si="22"/>
        <v>529.22236292454045</v>
      </c>
      <c r="R199" s="96">
        <f t="shared" si="23"/>
        <v>19157.295314300725</v>
      </c>
      <c r="T199" s="96">
        <v>19190.003817335681</v>
      </c>
      <c r="U199" s="5">
        <f t="shared" si="24"/>
        <v>-32.708503034955356</v>
      </c>
    </row>
    <row r="200" spans="2:21" x14ac:dyDescent="0.35">
      <c r="B200">
        <v>611</v>
      </c>
      <c r="C200" s="17">
        <v>8</v>
      </c>
      <c r="D200" s="22" t="s">
        <v>206</v>
      </c>
      <c r="E200" s="90">
        <v>13.408990768247023</v>
      </c>
      <c r="F200" s="90">
        <f>INDEX('Revised 2020 Lockdown'!H$5:H$254,MATCH(B200,'Revised 2020 Lockdown'!B$5:B$254,0))</f>
        <v>13.408990768247023</v>
      </c>
      <c r="G200" s="90">
        <f t="shared" si="18"/>
        <v>0</v>
      </c>
      <c r="H200" s="5">
        <v>23816.77</v>
      </c>
      <c r="I200" s="5">
        <f>INDEX('Revised 2020 Lockdown'!E$5:E$254,MATCH(B200,'Revised 2020 Lockdown'!B$5:B$254,0))</f>
        <v>23816.77</v>
      </c>
      <c r="J200" s="5">
        <f t="shared" si="19"/>
        <v>0</v>
      </c>
      <c r="K200" s="5">
        <v>0</v>
      </c>
      <c r="L200" s="5">
        <f>INDEX('Revised 2020 Lockdown'!F$5:F$254,MATCH(B200,'Revised 2020 Lockdown'!B$5:B$254,0))</f>
        <v>0</v>
      </c>
      <c r="M200" s="5">
        <f t="shared" si="20"/>
        <v>0</v>
      </c>
      <c r="N200" s="5">
        <f t="shared" si="17"/>
        <v>23816.77</v>
      </c>
      <c r="O200" s="60">
        <f>INDEX('Revised 2020 Lockdown'!G$5:G$254,MATCH(B200,'Revised 2020 Lockdown'!B$5:B$254,0))</f>
        <v>23816.77</v>
      </c>
      <c r="P200" s="5">
        <f t="shared" si="21"/>
        <v>0</v>
      </c>
      <c r="Q200" s="58">
        <f t="shared" si="22"/>
        <v>1776.1791630432751</v>
      </c>
      <c r="R200" s="96">
        <f t="shared" si="23"/>
        <v>11465.209629275048</v>
      </c>
      <c r="T200" s="96">
        <v>11484.784931414677</v>
      </c>
      <c r="U200" s="5">
        <f t="shared" si="24"/>
        <v>-19.575302139628548</v>
      </c>
    </row>
    <row r="201" spans="2:21" x14ac:dyDescent="0.35">
      <c r="B201">
        <v>616</v>
      </c>
      <c r="C201" s="17">
        <v>8</v>
      </c>
      <c r="D201" s="22" t="s">
        <v>207</v>
      </c>
      <c r="E201" s="90">
        <v>180.31</v>
      </c>
      <c r="F201" s="90">
        <f>INDEX('Revised 2020 Lockdown'!H$5:H$254,MATCH(B201,'Revised 2020 Lockdown'!B$5:B$254,0))</f>
        <v>180.31</v>
      </c>
      <c r="G201" s="90">
        <f t="shared" si="18"/>
        <v>0</v>
      </c>
      <c r="H201" s="5">
        <v>223457.03</v>
      </c>
      <c r="I201" s="5">
        <f>INDEX('Revised 2020 Lockdown'!E$5:E$254,MATCH(B201,'Revised 2020 Lockdown'!B$5:B$254,0))</f>
        <v>223457.03</v>
      </c>
      <c r="J201" s="5">
        <f t="shared" si="19"/>
        <v>0</v>
      </c>
      <c r="K201" s="5">
        <v>0</v>
      </c>
      <c r="L201" s="5">
        <f>INDEX('Revised 2020 Lockdown'!F$5:F$254,MATCH(B201,'Revised 2020 Lockdown'!B$5:B$254,0))</f>
        <v>0</v>
      </c>
      <c r="M201" s="5">
        <f t="shared" si="20"/>
        <v>0</v>
      </c>
      <c r="N201" s="5">
        <f t="shared" si="17"/>
        <v>223457.03</v>
      </c>
      <c r="O201" s="60">
        <f>INDEX('Revised 2020 Lockdown'!G$5:G$254,MATCH(B201,'Revised 2020 Lockdown'!B$5:B$254,0))</f>
        <v>223457.03</v>
      </c>
      <c r="P201" s="5">
        <f t="shared" si="21"/>
        <v>0</v>
      </c>
      <c r="Q201" s="58">
        <f t="shared" si="22"/>
        <v>1239.2936054572681</v>
      </c>
      <c r="R201" s="96">
        <f t="shared" si="23"/>
        <v>107570.49306371952</v>
      </c>
      <c r="T201" s="96">
        <v>107754.15520083864</v>
      </c>
      <c r="U201" s="5">
        <f t="shared" si="24"/>
        <v>-183.66213711911405</v>
      </c>
    </row>
    <row r="202" spans="2:21" x14ac:dyDescent="0.35">
      <c r="B202">
        <v>637</v>
      </c>
      <c r="C202" s="17">
        <v>8</v>
      </c>
      <c r="D202" s="22" t="s">
        <v>296</v>
      </c>
      <c r="E202" s="90">
        <v>15.33</v>
      </c>
      <c r="F202" s="90">
        <f>INDEX('Revised 2020 Lockdown'!H$5:H$254,MATCH(B202,'Revised 2020 Lockdown'!B$5:B$254,0))</f>
        <v>15.33</v>
      </c>
      <c r="G202" s="90">
        <f t="shared" si="18"/>
        <v>0</v>
      </c>
      <c r="H202" s="5">
        <v>24131.66</v>
      </c>
      <c r="I202" s="5">
        <f>INDEX('Revised 2020 Lockdown'!E$5:E$254,MATCH(B202,'Revised 2020 Lockdown'!B$5:B$254,0))</f>
        <v>24131.66</v>
      </c>
      <c r="J202" s="5">
        <f t="shared" si="19"/>
        <v>0</v>
      </c>
      <c r="K202" s="5">
        <v>0</v>
      </c>
      <c r="L202" s="5">
        <f>INDEX('Revised 2020 Lockdown'!F$5:F$254,MATCH(B202,'Revised 2020 Lockdown'!B$5:B$254,0))</f>
        <v>0</v>
      </c>
      <c r="M202" s="5">
        <f t="shared" si="20"/>
        <v>0</v>
      </c>
      <c r="N202" s="5">
        <f t="shared" si="17"/>
        <v>24131.66</v>
      </c>
      <c r="O202" s="60">
        <f>INDEX('Revised 2020 Lockdown'!G$5:G$254,MATCH(B202,'Revised 2020 Lockdown'!B$5:B$254,0))</f>
        <v>24131.66</v>
      </c>
      <c r="P202" s="5">
        <f t="shared" si="21"/>
        <v>0</v>
      </c>
      <c r="Q202" s="58">
        <f t="shared" si="22"/>
        <v>1574.1461187214611</v>
      </c>
      <c r="R202" s="96">
        <f t="shared" si="23"/>
        <v>11616.795249834109</v>
      </c>
      <c r="T202" s="96">
        <v>11636.629364016293</v>
      </c>
      <c r="U202" s="5">
        <f t="shared" si="24"/>
        <v>-19.834114182183839</v>
      </c>
    </row>
    <row r="203" spans="2:21" x14ac:dyDescent="0.35">
      <c r="B203">
        <v>638</v>
      </c>
      <c r="C203" s="17">
        <v>8</v>
      </c>
      <c r="D203" s="22" t="s">
        <v>208</v>
      </c>
      <c r="E203" s="90">
        <v>11.437998467465437</v>
      </c>
      <c r="F203" s="90">
        <f>INDEX('Revised 2020 Lockdown'!H$5:H$254,MATCH(B203,'Revised 2020 Lockdown'!B$5:B$254,0))</f>
        <v>11.437998467465437</v>
      </c>
      <c r="G203" s="90">
        <f t="shared" si="18"/>
        <v>0</v>
      </c>
      <c r="H203" s="5">
        <v>17396.490000000002</v>
      </c>
      <c r="I203" s="5">
        <f>INDEX('Revised 2020 Lockdown'!E$5:E$254,MATCH(B203,'Revised 2020 Lockdown'!B$5:B$254,0))</f>
        <v>17396.490000000002</v>
      </c>
      <c r="J203" s="5">
        <f t="shared" si="19"/>
        <v>0</v>
      </c>
      <c r="K203" s="5">
        <v>0</v>
      </c>
      <c r="L203" s="5">
        <f>INDEX('Revised 2020 Lockdown'!F$5:F$254,MATCH(B203,'Revised 2020 Lockdown'!B$5:B$254,0))</f>
        <v>0</v>
      </c>
      <c r="M203" s="5">
        <f t="shared" si="20"/>
        <v>0</v>
      </c>
      <c r="N203" s="5">
        <f t="shared" si="17"/>
        <v>17396.490000000002</v>
      </c>
      <c r="O203" s="60">
        <f>INDEX('Revised 2020 Lockdown'!G$5:G$254,MATCH(B203,'Revised 2020 Lockdown'!B$5:B$254,0))</f>
        <v>17396.490000000002</v>
      </c>
      <c r="P203" s="5">
        <f t="shared" si="21"/>
        <v>0</v>
      </c>
      <c r="Q203" s="58">
        <f t="shared" si="22"/>
        <v>1520.9383048514183</v>
      </c>
      <c r="R203" s="96">
        <f t="shared" si="23"/>
        <v>8374.5362894963127</v>
      </c>
      <c r="T203" s="96">
        <v>8388.8346829358525</v>
      </c>
      <c r="U203" s="5">
        <f t="shared" si="24"/>
        <v>-14.298393439539723</v>
      </c>
    </row>
    <row r="204" spans="2:21" x14ac:dyDescent="0.35">
      <c r="B204">
        <v>645</v>
      </c>
      <c r="C204" s="17">
        <v>8</v>
      </c>
      <c r="D204" s="22" t="s">
        <v>210</v>
      </c>
      <c r="E204" s="90">
        <v>9.713523715199134</v>
      </c>
      <c r="F204" s="90">
        <f>INDEX('Revised 2020 Lockdown'!H$5:H$254,MATCH(B204,'Revised 2020 Lockdown'!B$5:B$254,0))</f>
        <v>9.713523715199134</v>
      </c>
      <c r="G204" s="90">
        <f t="shared" si="18"/>
        <v>0</v>
      </c>
      <c r="H204" s="5">
        <v>8931.35</v>
      </c>
      <c r="I204" s="5">
        <f>INDEX('Revised 2020 Lockdown'!E$5:E$254,MATCH(B204,'Revised 2020 Lockdown'!B$5:B$254,0))</f>
        <v>8931.35</v>
      </c>
      <c r="J204" s="5">
        <f t="shared" si="19"/>
        <v>0</v>
      </c>
      <c r="K204" s="5">
        <v>0</v>
      </c>
      <c r="L204" s="5">
        <f>INDEX('Revised 2020 Lockdown'!F$5:F$254,MATCH(B204,'Revised 2020 Lockdown'!B$5:B$254,0))</f>
        <v>0</v>
      </c>
      <c r="M204" s="5">
        <f t="shared" si="20"/>
        <v>0</v>
      </c>
      <c r="N204" s="5">
        <f t="shared" si="17"/>
        <v>8931.35</v>
      </c>
      <c r="O204" s="60">
        <f>INDEX('Revised 2020 Lockdown'!G$5:G$254,MATCH(B204,'Revised 2020 Lockdown'!B$5:B$254,0))</f>
        <v>8931.35</v>
      </c>
      <c r="P204" s="5">
        <f t="shared" si="21"/>
        <v>0</v>
      </c>
      <c r="Q204" s="58">
        <f t="shared" si="22"/>
        <v>919.4758011477096</v>
      </c>
      <c r="R204" s="96">
        <f t="shared" si="23"/>
        <v>4299.4830962563647</v>
      </c>
      <c r="T204" s="96">
        <v>4306.8238849008694</v>
      </c>
      <c r="U204" s="5">
        <f t="shared" si="24"/>
        <v>-7.3407886445047552</v>
      </c>
    </row>
    <row r="205" spans="2:21" x14ac:dyDescent="0.35">
      <c r="B205">
        <v>709</v>
      </c>
      <c r="C205" s="17">
        <v>8</v>
      </c>
      <c r="D205" s="22" t="s">
        <v>297</v>
      </c>
      <c r="E205" s="90">
        <v>70.12997764079941</v>
      </c>
      <c r="F205" s="90">
        <f>INDEX('Revised 2020 Lockdown'!H$5:H$254,MATCH(B205,'Revised 2020 Lockdown'!B$5:B$254,0))</f>
        <v>70.12997764079941</v>
      </c>
      <c r="G205" s="90">
        <f t="shared" si="18"/>
        <v>0</v>
      </c>
      <c r="H205" s="5">
        <v>54476.53</v>
      </c>
      <c r="I205" s="5">
        <f>INDEX('Revised 2020 Lockdown'!E$5:E$254,MATCH(B205,'Revised 2020 Lockdown'!B$5:B$254,0))</f>
        <v>54476.53</v>
      </c>
      <c r="J205" s="5">
        <f t="shared" si="19"/>
        <v>0</v>
      </c>
      <c r="K205" s="5">
        <v>0</v>
      </c>
      <c r="L205" s="5">
        <f>INDEX('Revised 2020 Lockdown'!F$5:F$254,MATCH(B205,'Revised 2020 Lockdown'!B$5:B$254,0))</f>
        <v>0</v>
      </c>
      <c r="M205" s="5">
        <f t="shared" si="20"/>
        <v>0</v>
      </c>
      <c r="N205" s="5">
        <f t="shared" si="17"/>
        <v>54476.53</v>
      </c>
      <c r="O205" s="60">
        <f>INDEX('Revised 2020 Lockdown'!G$5:G$254,MATCH(B205,'Revised 2020 Lockdown'!B$5:B$254,0))</f>
        <v>54476.53</v>
      </c>
      <c r="P205" s="5">
        <f t="shared" si="21"/>
        <v>0</v>
      </c>
      <c r="Q205" s="58">
        <f t="shared" si="22"/>
        <v>776.7937739695966</v>
      </c>
      <c r="R205" s="96">
        <f t="shared" si="23"/>
        <v>26224.581936404098</v>
      </c>
      <c r="T205" s="96">
        <v>26269.356880037034</v>
      </c>
      <c r="U205" s="5">
        <f t="shared" si="24"/>
        <v>-44.774943632935901</v>
      </c>
    </row>
    <row r="206" spans="2:21" x14ac:dyDescent="0.35">
      <c r="B206">
        <v>714</v>
      </c>
      <c r="C206" s="17">
        <v>8</v>
      </c>
      <c r="D206" s="22" t="s">
        <v>211</v>
      </c>
      <c r="E206" s="90">
        <v>52.871224779011598</v>
      </c>
      <c r="F206" s="90">
        <f>INDEX('Revised 2020 Lockdown'!H$5:H$254,MATCH(B206,'Revised 2020 Lockdown'!B$5:B$254,0))</f>
        <v>52.871224779011598</v>
      </c>
      <c r="G206" s="90">
        <f t="shared" si="18"/>
        <v>0</v>
      </c>
      <c r="H206" s="5">
        <v>111327.15</v>
      </c>
      <c r="I206" s="5">
        <f>INDEX('Revised 2020 Lockdown'!E$5:E$254,MATCH(B206,'Revised 2020 Lockdown'!B$5:B$254,0))</f>
        <v>111327.15</v>
      </c>
      <c r="J206" s="5">
        <f t="shared" si="19"/>
        <v>0</v>
      </c>
      <c r="K206" s="5">
        <v>0</v>
      </c>
      <c r="L206" s="5">
        <f>INDEX('Revised 2020 Lockdown'!F$5:F$254,MATCH(B206,'Revised 2020 Lockdown'!B$5:B$254,0))</f>
        <v>0</v>
      </c>
      <c r="M206" s="5">
        <f t="shared" si="20"/>
        <v>0</v>
      </c>
      <c r="N206" s="5">
        <f t="shared" si="17"/>
        <v>111327.15</v>
      </c>
      <c r="O206" s="60">
        <f>INDEX('Revised 2020 Lockdown'!G$5:G$254,MATCH(B206,'Revised 2020 Lockdown'!B$5:B$254,0))</f>
        <v>111327.15</v>
      </c>
      <c r="P206" s="5">
        <f t="shared" si="21"/>
        <v>0</v>
      </c>
      <c r="Q206" s="58">
        <f t="shared" si="22"/>
        <v>2105.6283538979746</v>
      </c>
      <c r="R206" s="96">
        <f t="shared" si="23"/>
        <v>53592.032512374579</v>
      </c>
      <c r="T206" s="96">
        <v>53683.533694003905</v>
      </c>
      <c r="U206" s="5">
        <f t="shared" si="24"/>
        <v>-91.501181629326311</v>
      </c>
    </row>
    <row r="207" spans="2:21" x14ac:dyDescent="0.35">
      <c r="B207" s="18">
        <v>749</v>
      </c>
      <c r="C207" s="17">
        <v>8</v>
      </c>
      <c r="D207" s="22" t="s">
        <v>212</v>
      </c>
      <c r="E207" s="90">
        <v>38.992962784915356</v>
      </c>
      <c r="F207" s="90">
        <f>INDEX('Revised 2020 Lockdown'!H$5:H$254,MATCH(B207,'Revised 2020 Lockdown'!B$5:B$254,0))</f>
        <v>38.992962784915356</v>
      </c>
      <c r="G207" s="90">
        <f t="shared" si="18"/>
        <v>0</v>
      </c>
      <c r="H207" s="5">
        <v>13262.23</v>
      </c>
      <c r="I207" s="5">
        <f>INDEX('Revised 2020 Lockdown'!E$5:E$254,MATCH(B207,'Revised 2020 Lockdown'!B$5:B$254,0))</f>
        <v>13262.23</v>
      </c>
      <c r="J207" s="5">
        <f t="shared" si="19"/>
        <v>0</v>
      </c>
      <c r="K207" s="5">
        <v>0</v>
      </c>
      <c r="L207" s="5">
        <f>INDEX('Revised 2020 Lockdown'!F$5:F$254,MATCH(B207,'Revised 2020 Lockdown'!B$5:B$254,0))</f>
        <v>0</v>
      </c>
      <c r="M207" s="5">
        <f t="shared" si="20"/>
        <v>0</v>
      </c>
      <c r="N207" s="5">
        <f t="shared" si="17"/>
        <v>13262.23</v>
      </c>
      <c r="O207" s="60">
        <f>INDEX('Revised 2020 Lockdown'!G$5:G$254,MATCH(B207,'Revised 2020 Lockdown'!B$5:B$254,0))</f>
        <v>13262.23</v>
      </c>
      <c r="P207" s="5">
        <f t="shared" si="21"/>
        <v>0</v>
      </c>
      <c r="Q207" s="58">
        <f t="shared" si="22"/>
        <v>340.11855095890706</v>
      </c>
      <c r="R207" s="96">
        <f t="shared" si="23"/>
        <v>6384.3353696433396</v>
      </c>
      <c r="T207" s="96">
        <v>6395.2357629080543</v>
      </c>
      <c r="U207" s="5">
        <f t="shared" si="24"/>
        <v>-10.900393264714694</v>
      </c>
    </row>
    <row r="208" spans="2:21" x14ac:dyDescent="0.35">
      <c r="B208">
        <v>764</v>
      </c>
      <c r="C208" s="17">
        <v>8</v>
      </c>
      <c r="D208" s="22" t="s">
        <v>213</v>
      </c>
      <c r="E208" s="90">
        <v>10.911499538676168</v>
      </c>
      <c r="F208" s="90">
        <f>INDEX('Revised 2020 Lockdown'!H$5:H$254,MATCH(B208,'Revised 2020 Lockdown'!B$5:B$254,0))</f>
        <v>10.911499538676168</v>
      </c>
      <c r="G208" s="90">
        <f t="shared" si="18"/>
        <v>0</v>
      </c>
      <c r="H208" s="5">
        <v>10062.030000000001</v>
      </c>
      <c r="I208" s="5">
        <f>INDEX('Revised 2020 Lockdown'!E$5:E$254,MATCH(B208,'Revised 2020 Lockdown'!B$5:B$254,0))</f>
        <v>10062.030000000001</v>
      </c>
      <c r="J208" s="5">
        <f t="shared" si="19"/>
        <v>0</v>
      </c>
      <c r="K208" s="5">
        <v>0</v>
      </c>
      <c r="L208" s="5">
        <f>INDEX('Revised 2020 Lockdown'!F$5:F$254,MATCH(B208,'Revised 2020 Lockdown'!B$5:B$254,0))</f>
        <v>0</v>
      </c>
      <c r="M208" s="5">
        <f t="shared" si="20"/>
        <v>0</v>
      </c>
      <c r="N208" s="5">
        <f t="shared" si="17"/>
        <v>10062.030000000001</v>
      </c>
      <c r="O208" s="60">
        <f>INDEX('Revised 2020 Lockdown'!G$5:G$254,MATCH(B208,'Revised 2020 Lockdown'!B$5:B$254,0))</f>
        <v>10062.030000000001</v>
      </c>
      <c r="P208" s="5">
        <f t="shared" si="21"/>
        <v>0</v>
      </c>
      <c r="Q208" s="58">
        <f t="shared" si="22"/>
        <v>922.14914772573707</v>
      </c>
      <c r="R208" s="96">
        <f t="shared" si="23"/>
        <v>4843.7837391910998</v>
      </c>
      <c r="T208" s="96">
        <v>4852.053847916507</v>
      </c>
      <c r="U208" s="5">
        <f t="shared" si="24"/>
        <v>-8.2701087254072263</v>
      </c>
    </row>
    <row r="209" spans="2:21" x14ac:dyDescent="0.35">
      <c r="B209">
        <v>775</v>
      </c>
      <c r="C209" s="17">
        <v>8</v>
      </c>
      <c r="D209" s="22" t="s">
        <v>214</v>
      </c>
      <c r="E209" s="90">
        <v>171.21134730686421</v>
      </c>
      <c r="F209" s="90">
        <f>INDEX('Revised 2020 Lockdown'!H$5:H$254,MATCH(B209,'Revised 2020 Lockdown'!B$5:B$254,0))</f>
        <v>171.21134730686421</v>
      </c>
      <c r="G209" s="90">
        <f t="shared" si="18"/>
        <v>0</v>
      </c>
      <c r="H209" s="5">
        <v>134821.5</v>
      </c>
      <c r="I209" s="5">
        <f>INDEX('Revised 2020 Lockdown'!E$5:E$254,MATCH(B209,'Revised 2020 Lockdown'!B$5:B$254,0))</f>
        <v>134821.5</v>
      </c>
      <c r="J209" s="5">
        <f t="shared" si="19"/>
        <v>0</v>
      </c>
      <c r="K209" s="5">
        <v>0</v>
      </c>
      <c r="L209" s="5">
        <f>INDEX('Revised 2020 Lockdown'!F$5:F$254,MATCH(B209,'Revised 2020 Lockdown'!B$5:B$254,0))</f>
        <v>0</v>
      </c>
      <c r="M209" s="5">
        <f t="shared" si="20"/>
        <v>0</v>
      </c>
      <c r="N209" s="5">
        <f t="shared" si="17"/>
        <v>134821.5</v>
      </c>
      <c r="O209" s="60">
        <f>INDEX('Revised 2020 Lockdown'!G$5:G$254,MATCH(B209,'Revised 2020 Lockdown'!B$5:B$254,0))</f>
        <v>134821.5</v>
      </c>
      <c r="P209" s="5">
        <f t="shared" si="21"/>
        <v>0</v>
      </c>
      <c r="Q209" s="58">
        <f t="shared" si="22"/>
        <v>787.45656827498567</v>
      </c>
      <c r="R209" s="96">
        <f t="shared" si="23"/>
        <v>64902.031637090411</v>
      </c>
      <c r="T209" s="96">
        <v>65012.843119815319</v>
      </c>
      <c r="U209" s="5">
        <f t="shared" si="24"/>
        <v>-110.81148272490827</v>
      </c>
    </row>
    <row r="210" spans="2:21" x14ac:dyDescent="0.35">
      <c r="B210">
        <v>790</v>
      </c>
      <c r="C210" s="17">
        <v>8</v>
      </c>
      <c r="D210" s="22" t="s">
        <v>215</v>
      </c>
      <c r="E210" s="90">
        <v>11.850041107387474</v>
      </c>
      <c r="F210" s="90">
        <f>INDEX('Revised 2020 Lockdown'!H$5:H$254,MATCH(B210,'Revised 2020 Lockdown'!B$5:B$254,0))</f>
        <v>11.850041107387474</v>
      </c>
      <c r="G210" s="90">
        <f t="shared" si="18"/>
        <v>0</v>
      </c>
      <c r="H210" s="5">
        <v>9232.44</v>
      </c>
      <c r="I210" s="5">
        <f>INDEX('Revised 2020 Lockdown'!E$5:E$254,MATCH(B210,'Revised 2020 Lockdown'!B$5:B$254,0))</f>
        <v>9232.44</v>
      </c>
      <c r="J210" s="5">
        <f t="shared" si="19"/>
        <v>0</v>
      </c>
      <c r="K210" s="5">
        <v>0</v>
      </c>
      <c r="L210" s="5">
        <f>INDEX('Revised 2020 Lockdown'!F$5:F$254,MATCH(B210,'Revised 2020 Lockdown'!B$5:B$254,0))</f>
        <v>0</v>
      </c>
      <c r="M210" s="5">
        <f t="shared" si="20"/>
        <v>0</v>
      </c>
      <c r="N210" s="5">
        <f t="shared" si="17"/>
        <v>9232.44</v>
      </c>
      <c r="O210" s="60">
        <f>INDEX('Revised 2020 Lockdown'!G$5:G$254,MATCH(B210,'Revised 2020 Lockdown'!B$5:B$254,0))</f>
        <v>9232.44</v>
      </c>
      <c r="P210" s="5">
        <f t="shared" si="21"/>
        <v>0</v>
      </c>
      <c r="Q210" s="58">
        <f t="shared" si="22"/>
        <v>779.10615805749183</v>
      </c>
      <c r="R210" s="96">
        <f t="shared" si="23"/>
        <v>4444.4255031099565</v>
      </c>
      <c r="T210" s="96">
        <v>4452.0137614038395</v>
      </c>
      <c r="U210" s="5">
        <f t="shared" si="24"/>
        <v>-7.5882582938829728</v>
      </c>
    </row>
    <row r="211" spans="2:21" x14ac:dyDescent="0.35">
      <c r="B211">
        <v>795</v>
      </c>
      <c r="C211" s="17">
        <v>8</v>
      </c>
      <c r="D211" s="22" t="s">
        <v>216</v>
      </c>
      <c r="E211" s="90">
        <v>179.1317224964767</v>
      </c>
      <c r="F211" s="90">
        <f>INDEX('Revised 2020 Lockdown'!H$5:H$254,MATCH(B211,'Revised 2020 Lockdown'!B$5:B$254,0))</f>
        <v>179.1317224964767</v>
      </c>
      <c r="G211" s="90">
        <f t="shared" si="18"/>
        <v>0</v>
      </c>
      <c r="H211" s="5">
        <v>210861.53</v>
      </c>
      <c r="I211" s="5">
        <f>INDEX('Revised 2020 Lockdown'!E$5:E$254,MATCH(B211,'Revised 2020 Lockdown'!B$5:B$254,0))</f>
        <v>210861.53</v>
      </c>
      <c r="J211" s="5">
        <f t="shared" si="19"/>
        <v>0</v>
      </c>
      <c r="K211" s="5">
        <v>4554.55</v>
      </c>
      <c r="L211" s="5">
        <f>INDEX('Revised 2020 Lockdown'!F$5:F$254,MATCH(B211,'Revised 2020 Lockdown'!B$5:B$254,0))</f>
        <v>4554.55</v>
      </c>
      <c r="M211" s="5">
        <f t="shared" si="20"/>
        <v>0</v>
      </c>
      <c r="N211" s="5">
        <f t="shared" si="17"/>
        <v>206306.98</v>
      </c>
      <c r="O211" s="60">
        <f>INDEX('Revised 2020 Lockdown'!G$5:G$254,MATCH(B211,'Revised 2020 Lockdown'!B$5:B$254,0))</f>
        <v>206306.98</v>
      </c>
      <c r="P211" s="5">
        <f t="shared" si="21"/>
        <v>0</v>
      </c>
      <c r="Q211" s="58">
        <f t="shared" si="22"/>
        <v>1151.7054440430438</v>
      </c>
      <c r="R211" s="96">
        <f t="shared" si="23"/>
        <v>99314.591092018556</v>
      </c>
      <c r="T211" s="96">
        <v>99484.157387826694</v>
      </c>
      <c r="U211" s="5">
        <f t="shared" si="24"/>
        <v>-169.56629580813751</v>
      </c>
    </row>
    <row r="212" spans="2:21" x14ac:dyDescent="0.35">
      <c r="B212">
        <v>796</v>
      </c>
      <c r="C212" s="17">
        <v>8</v>
      </c>
      <c r="D212" s="22" t="s">
        <v>217</v>
      </c>
      <c r="E212" s="90">
        <v>35.5</v>
      </c>
      <c r="F212" s="90">
        <f>INDEX('Revised 2020 Lockdown'!H$5:H$254,MATCH(B212,'Revised 2020 Lockdown'!B$5:B$254,0))</f>
        <v>35.5</v>
      </c>
      <c r="G212" s="90">
        <f t="shared" si="18"/>
        <v>0</v>
      </c>
      <c r="H212" s="5">
        <v>25689.16</v>
      </c>
      <c r="I212" s="5">
        <f>INDEX('Revised 2020 Lockdown'!E$5:E$254,MATCH(B212,'Revised 2020 Lockdown'!B$5:B$254,0))</f>
        <v>25689.16</v>
      </c>
      <c r="J212" s="5">
        <f t="shared" si="19"/>
        <v>0</v>
      </c>
      <c r="K212" s="5">
        <v>0</v>
      </c>
      <c r="L212" s="5">
        <f>INDEX('Revised 2020 Lockdown'!F$5:F$254,MATCH(B212,'Revised 2020 Lockdown'!B$5:B$254,0))</f>
        <v>0</v>
      </c>
      <c r="M212" s="5">
        <f t="shared" si="20"/>
        <v>0</v>
      </c>
      <c r="N212" s="5">
        <f t="shared" ref="N212:N269" si="25">H212-K212</f>
        <v>25689.16</v>
      </c>
      <c r="O212" s="60">
        <f>INDEX('Revised 2020 Lockdown'!G$5:G$254,MATCH(B212,'Revised 2020 Lockdown'!B$5:B$254,0))</f>
        <v>25689.16</v>
      </c>
      <c r="P212" s="5">
        <f t="shared" si="21"/>
        <v>0</v>
      </c>
      <c r="Q212" s="58">
        <f t="shared" si="22"/>
        <v>723.6383098591549</v>
      </c>
      <c r="R212" s="96">
        <f t="shared" si="23"/>
        <v>12366.563753186825</v>
      </c>
      <c r="T212" s="96">
        <v>12387.677996164075</v>
      </c>
      <c r="U212" s="5">
        <f t="shared" si="24"/>
        <v>-21.114242977249887</v>
      </c>
    </row>
    <row r="213" spans="2:21" x14ac:dyDescent="0.35">
      <c r="B213">
        <v>797</v>
      </c>
      <c r="C213" s="17">
        <v>8</v>
      </c>
      <c r="D213" s="22" t="s">
        <v>218</v>
      </c>
      <c r="E213" s="90">
        <v>18.136463858283562</v>
      </c>
      <c r="F213" s="90">
        <f>INDEX('Revised 2020 Lockdown'!H$5:H$254,MATCH(B213,'Revised 2020 Lockdown'!B$5:B$254,0))</f>
        <v>18.136463858283562</v>
      </c>
      <c r="G213" s="90">
        <f t="shared" ref="G213:G269" si="26">F213-E213</f>
        <v>0</v>
      </c>
      <c r="H213" s="5">
        <v>43696.58</v>
      </c>
      <c r="I213" s="5">
        <f>INDEX('Revised 2020 Lockdown'!E$5:E$254,MATCH(B213,'Revised 2020 Lockdown'!B$5:B$254,0))</f>
        <v>43696.58</v>
      </c>
      <c r="J213" s="5">
        <f t="shared" ref="J213:J269" si="27">I213-H213</f>
        <v>0</v>
      </c>
      <c r="K213" s="5">
        <v>1315</v>
      </c>
      <c r="L213" s="5">
        <f>INDEX('Revised 2020 Lockdown'!F$5:F$254,MATCH(B213,'Revised 2020 Lockdown'!B$5:B$254,0))</f>
        <v>1315</v>
      </c>
      <c r="M213" s="5">
        <f t="shared" ref="M213:M269" si="28">L213-K213</f>
        <v>0</v>
      </c>
      <c r="N213" s="5">
        <f t="shared" si="25"/>
        <v>42381.58</v>
      </c>
      <c r="O213" s="60">
        <f>INDEX('Revised 2020 Lockdown'!G$5:G$254,MATCH(B213,'Revised 2020 Lockdown'!B$5:B$254,0))</f>
        <v>42381.58</v>
      </c>
      <c r="P213" s="5">
        <f t="shared" ref="P213:P269" si="29">O213-N213</f>
        <v>0</v>
      </c>
      <c r="Q213" s="58">
        <f t="shared" ref="Q213:Q269" si="30">IFERROR(O213/F213,"n.a.")</f>
        <v>2336.8160591372853</v>
      </c>
      <c r="R213" s="96">
        <f t="shared" ref="R213:R269" si="31">O213*(E$12/O$18)</f>
        <v>20402.166167783911</v>
      </c>
      <c r="T213" s="96">
        <v>20437.000120232326</v>
      </c>
      <c r="U213" s="5">
        <f t="shared" ref="U213:U269" si="32">R213-T213</f>
        <v>-34.833952448414493</v>
      </c>
    </row>
    <row r="214" spans="2:21" x14ac:dyDescent="0.35">
      <c r="B214">
        <v>801</v>
      </c>
      <c r="C214" s="17">
        <v>8</v>
      </c>
      <c r="D214" s="22" t="s">
        <v>219</v>
      </c>
      <c r="E214" s="90">
        <v>81.922589742232461</v>
      </c>
      <c r="F214" s="90">
        <f>INDEX('Revised 2020 Lockdown'!H$5:H$254,MATCH(B214,'Revised 2020 Lockdown'!B$5:B$254,0))</f>
        <v>81.922589742232461</v>
      </c>
      <c r="G214" s="90">
        <f t="shared" si="26"/>
        <v>0</v>
      </c>
      <c r="H214" s="5">
        <v>115450.44</v>
      </c>
      <c r="I214" s="5">
        <f>INDEX('Revised 2020 Lockdown'!E$5:E$254,MATCH(B214,'Revised 2020 Lockdown'!B$5:B$254,0))</f>
        <v>115450.44</v>
      </c>
      <c r="J214" s="5">
        <f t="shared" si="27"/>
        <v>0</v>
      </c>
      <c r="K214" s="5">
        <v>0</v>
      </c>
      <c r="L214" s="5">
        <f>INDEX('Revised 2020 Lockdown'!F$5:F$254,MATCH(B214,'Revised 2020 Lockdown'!B$5:B$254,0))</f>
        <v>0</v>
      </c>
      <c r="M214" s="5">
        <f t="shared" si="28"/>
        <v>0</v>
      </c>
      <c r="N214" s="5">
        <f t="shared" si="25"/>
        <v>115450.44</v>
      </c>
      <c r="O214" s="60">
        <f>INDEX('Revised 2020 Lockdown'!G$5:G$254,MATCH(B214,'Revised 2020 Lockdown'!B$5:B$254,0))</f>
        <v>115450.44</v>
      </c>
      <c r="P214" s="5">
        <f t="shared" si="29"/>
        <v>0</v>
      </c>
      <c r="Q214" s="58">
        <f t="shared" si="30"/>
        <v>1409.2625777976764</v>
      </c>
      <c r="R214" s="96">
        <f t="shared" si="31"/>
        <v>55576.952558724006</v>
      </c>
      <c r="T214" s="96">
        <v>55671.842724147493</v>
      </c>
      <c r="U214" s="5">
        <f t="shared" si="32"/>
        <v>-94.890165423486906</v>
      </c>
    </row>
    <row r="215" spans="2:21" x14ac:dyDescent="0.35">
      <c r="B215">
        <v>809</v>
      </c>
      <c r="C215" s="17">
        <v>8</v>
      </c>
      <c r="D215" s="22" t="s">
        <v>220</v>
      </c>
      <c r="E215" s="90">
        <v>126.16898242797932</v>
      </c>
      <c r="F215" s="90">
        <f>INDEX('Revised 2020 Lockdown'!H$5:H$254,MATCH(B215,'Revised 2020 Lockdown'!B$5:B$254,0))</f>
        <v>126.16898242797932</v>
      </c>
      <c r="G215" s="90">
        <f t="shared" si="26"/>
        <v>0</v>
      </c>
      <c r="H215" s="5">
        <v>462882.94</v>
      </c>
      <c r="I215" s="5">
        <f>INDEX('Revised 2020 Lockdown'!E$5:E$254,MATCH(B215,'Revised 2020 Lockdown'!B$5:B$254,0))</f>
        <v>462882.94</v>
      </c>
      <c r="J215" s="5">
        <f t="shared" si="27"/>
        <v>0</v>
      </c>
      <c r="K215" s="5">
        <v>0</v>
      </c>
      <c r="L215" s="5">
        <f>INDEX('Revised 2020 Lockdown'!F$5:F$254,MATCH(B215,'Revised 2020 Lockdown'!B$5:B$254,0))</f>
        <v>0</v>
      </c>
      <c r="M215" s="5">
        <f t="shared" si="28"/>
        <v>0</v>
      </c>
      <c r="N215" s="5">
        <f t="shared" si="25"/>
        <v>462882.94</v>
      </c>
      <c r="O215" s="60">
        <f>INDEX('Revised 2020 Lockdown'!G$5:G$254,MATCH(B215,'Revised 2020 Lockdown'!B$5:B$254,0))</f>
        <v>462882.94</v>
      </c>
      <c r="P215" s="5">
        <f t="shared" si="29"/>
        <v>0</v>
      </c>
      <c r="Q215" s="58">
        <f t="shared" si="30"/>
        <v>3668.7538497366113</v>
      </c>
      <c r="R215" s="96">
        <f t="shared" si="31"/>
        <v>222828.28195910461</v>
      </c>
      <c r="T215" s="96">
        <v>223208.7312562083</v>
      </c>
      <c r="U215" s="5">
        <f t="shared" si="32"/>
        <v>-380.4492971036816</v>
      </c>
    </row>
    <row r="216" spans="2:21" x14ac:dyDescent="0.35">
      <c r="B216">
        <v>810</v>
      </c>
      <c r="C216" s="17">
        <v>8</v>
      </c>
      <c r="D216" s="22" t="s">
        <v>221</v>
      </c>
      <c r="E216" s="90">
        <v>136.84</v>
      </c>
      <c r="F216" s="90">
        <f>INDEX('Revised 2020 Lockdown'!H$5:H$254,MATCH(B216,'Revised 2020 Lockdown'!B$5:B$254,0))</f>
        <v>136.84</v>
      </c>
      <c r="G216" s="90">
        <f t="shared" si="26"/>
        <v>0</v>
      </c>
      <c r="H216" s="5">
        <v>160902.45000000001</v>
      </c>
      <c r="I216" s="5">
        <f>INDEX('Revised 2020 Lockdown'!E$5:E$254,MATCH(B216,'Revised 2020 Lockdown'!B$5:B$254,0))</f>
        <v>160902.45000000001</v>
      </c>
      <c r="J216" s="5">
        <f t="shared" si="27"/>
        <v>0</v>
      </c>
      <c r="K216" s="5">
        <v>0</v>
      </c>
      <c r="L216" s="5">
        <f>INDEX('Revised 2020 Lockdown'!F$5:F$254,MATCH(B216,'Revised 2020 Lockdown'!B$5:B$254,0))</f>
        <v>0</v>
      </c>
      <c r="M216" s="5">
        <f t="shared" si="28"/>
        <v>0</v>
      </c>
      <c r="N216" s="5">
        <f t="shared" si="25"/>
        <v>160902.45000000001</v>
      </c>
      <c r="O216" s="60">
        <f>INDEX('Revised 2020 Lockdown'!G$5:G$254,MATCH(B216,'Revised 2020 Lockdown'!B$5:B$254,0))</f>
        <v>160902.45000000001</v>
      </c>
      <c r="P216" s="5">
        <f t="shared" si="29"/>
        <v>0</v>
      </c>
      <c r="Q216" s="58">
        <f t="shared" si="30"/>
        <v>1175.8436860567085</v>
      </c>
      <c r="R216" s="96">
        <f t="shared" si="31"/>
        <v>77457.200078513881</v>
      </c>
      <c r="T216" s="96">
        <v>77589.447821333612</v>
      </c>
      <c r="U216" s="5">
        <f t="shared" si="32"/>
        <v>-132.24774281973077</v>
      </c>
    </row>
    <row r="217" spans="2:21" x14ac:dyDescent="0.35">
      <c r="B217">
        <v>812</v>
      </c>
      <c r="C217" s="17">
        <v>8</v>
      </c>
      <c r="D217" s="22" t="s">
        <v>222</v>
      </c>
      <c r="E217" s="90">
        <v>35.618797095482762</v>
      </c>
      <c r="F217" s="90">
        <f>INDEX('Revised 2020 Lockdown'!H$5:H$254,MATCH(B217,'Revised 2020 Lockdown'!B$5:B$254,0))</f>
        <v>35.618797095482762</v>
      </c>
      <c r="G217" s="90">
        <f t="shared" si="26"/>
        <v>0</v>
      </c>
      <c r="H217" s="5">
        <v>87007</v>
      </c>
      <c r="I217" s="5">
        <f>INDEX('Revised 2020 Lockdown'!E$5:E$254,MATCH(B217,'Revised 2020 Lockdown'!B$5:B$254,0))</f>
        <v>87007</v>
      </c>
      <c r="J217" s="5">
        <f t="shared" si="27"/>
        <v>0</v>
      </c>
      <c r="K217" s="5">
        <v>164.5</v>
      </c>
      <c r="L217" s="5">
        <f>INDEX('Revised 2020 Lockdown'!F$5:F$254,MATCH(B217,'Revised 2020 Lockdown'!B$5:B$254,0))</f>
        <v>164.5</v>
      </c>
      <c r="M217" s="5">
        <f t="shared" si="28"/>
        <v>0</v>
      </c>
      <c r="N217" s="5">
        <f t="shared" si="25"/>
        <v>86842.5</v>
      </c>
      <c r="O217" s="60">
        <f>INDEX('Revised 2020 Lockdown'!G$5:G$254,MATCH(B217,'Revised 2020 Lockdown'!B$5:B$254,0))</f>
        <v>86842.5</v>
      </c>
      <c r="P217" s="5">
        <f t="shared" si="29"/>
        <v>0</v>
      </c>
      <c r="Q217" s="58">
        <f t="shared" si="30"/>
        <v>2438.108725772031</v>
      </c>
      <c r="R217" s="96">
        <f t="shared" si="31"/>
        <v>41805.310595446754</v>
      </c>
      <c r="T217" s="96">
        <v>41876.687535983219</v>
      </c>
      <c r="U217" s="5">
        <f t="shared" si="32"/>
        <v>-71.376940536465554</v>
      </c>
    </row>
    <row r="218" spans="2:21" x14ac:dyDescent="0.35">
      <c r="B218">
        <v>818</v>
      </c>
      <c r="C218" s="17">
        <v>8</v>
      </c>
      <c r="D218" s="22" t="s">
        <v>223</v>
      </c>
      <c r="E218" s="90">
        <v>32.857676017331173</v>
      </c>
      <c r="F218" s="90">
        <f>INDEX('Revised 2020 Lockdown'!H$5:H$254,MATCH(B218,'Revised 2020 Lockdown'!B$5:B$254,0))</f>
        <v>32.857676017331173</v>
      </c>
      <c r="G218" s="90">
        <f t="shared" si="26"/>
        <v>0</v>
      </c>
      <c r="H218" s="5">
        <v>19267.900000000001</v>
      </c>
      <c r="I218" s="5">
        <f>INDEX('Revised 2020 Lockdown'!E$5:E$254,MATCH(B218,'Revised 2020 Lockdown'!B$5:B$254,0))</f>
        <v>19267.900000000001</v>
      </c>
      <c r="J218" s="5">
        <f t="shared" si="27"/>
        <v>0</v>
      </c>
      <c r="K218" s="5">
        <v>0</v>
      </c>
      <c r="L218" s="5">
        <f>INDEX('Revised 2020 Lockdown'!F$5:F$254,MATCH(B218,'Revised 2020 Lockdown'!B$5:B$254,0))</f>
        <v>0</v>
      </c>
      <c r="M218" s="5">
        <f t="shared" si="28"/>
        <v>0</v>
      </c>
      <c r="N218" s="5">
        <f t="shared" si="25"/>
        <v>19267.900000000001</v>
      </c>
      <c r="O218" s="60">
        <f>INDEX('Revised 2020 Lockdown'!G$5:G$254,MATCH(B218,'Revised 2020 Lockdown'!B$5:B$254,0))</f>
        <v>19267.900000000001</v>
      </c>
      <c r="P218" s="5">
        <f t="shared" si="29"/>
        <v>0</v>
      </c>
      <c r="Q218" s="58">
        <f t="shared" si="30"/>
        <v>586.40483246097256</v>
      </c>
      <c r="R218" s="96">
        <f t="shared" si="31"/>
        <v>9275.4186489565418</v>
      </c>
      <c r="T218" s="96">
        <v>9291.2551777594053</v>
      </c>
      <c r="U218" s="5">
        <f t="shared" si="32"/>
        <v>-15.83652880286354</v>
      </c>
    </row>
    <row r="219" spans="2:21" x14ac:dyDescent="0.35">
      <c r="B219">
        <v>833</v>
      </c>
      <c r="C219" s="17">
        <v>8</v>
      </c>
      <c r="D219" s="22" t="s">
        <v>224</v>
      </c>
      <c r="E219" s="90">
        <v>55.573879431587635</v>
      </c>
      <c r="F219" s="90">
        <f>INDEX('Revised 2020 Lockdown'!H$5:H$254,MATCH(B219,'Revised 2020 Lockdown'!B$5:B$254,0))</f>
        <v>55.573879431587635</v>
      </c>
      <c r="G219" s="90">
        <f t="shared" si="26"/>
        <v>0</v>
      </c>
      <c r="H219" s="5">
        <v>40085.18</v>
      </c>
      <c r="I219" s="5">
        <f>INDEX('Revised 2020 Lockdown'!E$5:E$254,MATCH(B219,'Revised 2020 Lockdown'!B$5:B$254,0))</f>
        <v>40085.18</v>
      </c>
      <c r="J219" s="5">
        <f t="shared" si="27"/>
        <v>0</v>
      </c>
      <c r="K219" s="5">
        <v>0</v>
      </c>
      <c r="L219" s="5">
        <f>INDEX('Revised 2020 Lockdown'!F$5:F$254,MATCH(B219,'Revised 2020 Lockdown'!B$5:B$254,0))</f>
        <v>0</v>
      </c>
      <c r="M219" s="5">
        <f t="shared" si="28"/>
        <v>0</v>
      </c>
      <c r="N219" s="5">
        <f t="shared" si="25"/>
        <v>40085.18</v>
      </c>
      <c r="O219" s="60">
        <f>INDEX('Revised 2020 Lockdown'!G$5:G$254,MATCH(B219,'Revised 2020 Lockdown'!B$5:B$254,0))</f>
        <v>40085.18</v>
      </c>
      <c r="P219" s="5">
        <f t="shared" si="29"/>
        <v>0</v>
      </c>
      <c r="Q219" s="58">
        <f t="shared" si="30"/>
        <v>721.29533532647326</v>
      </c>
      <c r="R219" s="96">
        <f t="shared" si="31"/>
        <v>19296.696895810117</v>
      </c>
      <c r="T219" s="96">
        <v>19329.643408281012</v>
      </c>
      <c r="U219" s="5">
        <f t="shared" si="32"/>
        <v>-32.946512470894959</v>
      </c>
    </row>
    <row r="220" spans="2:21" x14ac:dyDescent="0.35">
      <c r="B220">
        <v>834</v>
      </c>
      <c r="C220" s="17">
        <v>8</v>
      </c>
      <c r="D220" s="22" t="s">
        <v>225</v>
      </c>
      <c r="E220" s="90">
        <v>114.61999999999999</v>
      </c>
      <c r="F220" s="90">
        <f>INDEX('Revised 2020 Lockdown'!H$5:H$254,MATCH(B220,'Revised 2020 Lockdown'!B$5:B$254,0))</f>
        <v>114.61999999999999</v>
      </c>
      <c r="G220" s="90">
        <f t="shared" si="26"/>
        <v>0</v>
      </c>
      <c r="H220" s="5">
        <v>64023.01</v>
      </c>
      <c r="I220" s="5">
        <f>INDEX('Revised 2020 Lockdown'!E$5:E$254,MATCH(B220,'Revised 2020 Lockdown'!B$5:B$254,0))</f>
        <v>64023.01</v>
      </c>
      <c r="J220" s="5">
        <f t="shared" si="27"/>
        <v>0</v>
      </c>
      <c r="K220" s="5">
        <v>5361.7</v>
      </c>
      <c r="L220" s="5">
        <f>INDEX('Revised 2020 Lockdown'!F$5:F$254,MATCH(B220,'Revised 2020 Lockdown'!B$5:B$254,0))</f>
        <v>5361.7</v>
      </c>
      <c r="M220" s="5">
        <f t="shared" si="28"/>
        <v>0</v>
      </c>
      <c r="N220" s="5">
        <f t="shared" si="25"/>
        <v>58661.310000000005</v>
      </c>
      <c r="O220" s="60">
        <f>INDEX('Revised 2020 Lockdown'!G$5:G$254,MATCH(B220,'Revised 2020 Lockdown'!B$5:B$254,0))</f>
        <v>58661.310000000005</v>
      </c>
      <c r="P220" s="5">
        <f t="shared" si="29"/>
        <v>0</v>
      </c>
      <c r="Q220" s="58">
        <f t="shared" si="30"/>
        <v>511.78947827604264</v>
      </c>
      <c r="R220" s="96">
        <f t="shared" si="31"/>
        <v>28239.102795126659</v>
      </c>
      <c r="T220" s="96">
        <v>28287.317261956392</v>
      </c>
      <c r="U220" s="5">
        <f t="shared" si="32"/>
        <v>-48.214466829733283</v>
      </c>
    </row>
    <row r="221" spans="2:21" x14ac:dyDescent="0.35">
      <c r="B221">
        <v>837</v>
      </c>
      <c r="C221" s="17">
        <v>8</v>
      </c>
      <c r="D221" s="22" t="s">
        <v>226</v>
      </c>
      <c r="E221" s="90">
        <v>194.5</v>
      </c>
      <c r="F221" s="90">
        <f>INDEX('Revised 2020 Lockdown'!H$5:H$254,MATCH(B221,'Revised 2020 Lockdown'!B$5:B$254,0))</f>
        <v>194.5</v>
      </c>
      <c r="G221" s="90">
        <f t="shared" si="26"/>
        <v>0</v>
      </c>
      <c r="H221" s="5">
        <v>164937.14000000001</v>
      </c>
      <c r="I221" s="5">
        <f>INDEX('Revised 2020 Lockdown'!E$5:E$254,MATCH(B221,'Revised 2020 Lockdown'!B$5:B$254,0))</f>
        <v>164937.14000000001</v>
      </c>
      <c r="J221" s="5">
        <f t="shared" si="27"/>
        <v>0</v>
      </c>
      <c r="K221" s="5">
        <v>0</v>
      </c>
      <c r="L221" s="5">
        <f>INDEX('Revised 2020 Lockdown'!F$5:F$254,MATCH(B221,'Revised 2020 Lockdown'!B$5:B$254,0))</f>
        <v>0</v>
      </c>
      <c r="M221" s="5">
        <f t="shared" si="28"/>
        <v>0</v>
      </c>
      <c r="N221" s="5">
        <f t="shared" si="25"/>
        <v>164937.14000000001</v>
      </c>
      <c r="O221" s="60">
        <f>INDEX('Revised 2020 Lockdown'!G$5:G$254,MATCH(B221,'Revised 2020 Lockdown'!B$5:B$254,0))</f>
        <v>164937.14000000001</v>
      </c>
      <c r="P221" s="5">
        <f t="shared" si="29"/>
        <v>0</v>
      </c>
      <c r="Q221" s="58">
        <f t="shared" si="30"/>
        <v>848.00586118251931</v>
      </c>
      <c r="R221" s="96">
        <f t="shared" si="31"/>
        <v>79399.468767305007</v>
      </c>
      <c r="T221" s="96">
        <v>79535.032672467059</v>
      </c>
      <c r="U221" s="5">
        <f t="shared" si="32"/>
        <v>-135.56390516205283</v>
      </c>
    </row>
    <row r="222" spans="2:21" x14ac:dyDescent="0.35">
      <c r="B222">
        <v>845</v>
      </c>
      <c r="C222" s="17">
        <v>8</v>
      </c>
      <c r="D222" s="22" t="s">
        <v>298</v>
      </c>
      <c r="E222" s="90">
        <v>1.2819104353130046</v>
      </c>
      <c r="F222" s="90">
        <f>INDEX('Revised 2020 Lockdown'!H$5:H$254,MATCH(B222,'Revised 2020 Lockdown'!B$5:B$254,0))</f>
        <v>1.2819104353130046</v>
      </c>
      <c r="G222" s="90">
        <f t="shared" si="26"/>
        <v>0</v>
      </c>
      <c r="H222" s="5">
        <v>2745.53</v>
      </c>
      <c r="I222" s="5">
        <f>INDEX('Revised 2020 Lockdown'!E$5:E$254,MATCH(B222,'Revised 2020 Lockdown'!B$5:B$254,0))</f>
        <v>2745.53</v>
      </c>
      <c r="J222" s="5">
        <f t="shared" si="27"/>
        <v>0</v>
      </c>
      <c r="K222" s="5">
        <v>0</v>
      </c>
      <c r="L222" s="5">
        <f>INDEX('Revised 2020 Lockdown'!F$5:F$254,MATCH(B222,'Revised 2020 Lockdown'!B$5:B$254,0))</f>
        <v>0</v>
      </c>
      <c r="M222" s="5">
        <f t="shared" si="28"/>
        <v>0</v>
      </c>
      <c r="N222" s="5">
        <f t="shared" si="25"/>
        <v>2745.53</v>
      </c>
      <c r="O222" s="60">
        <f>INDEX('Revised 2020 Lockdown'!G$5:G$254,MATCH(B222,'Revised 2020 Lockdown'!B$5:B$254,0))</f>
        <v>2745.53</v>
      </c>
      <c r="P222" s="5">
        <f t="shared" si="29"/>
        <v>0</v>
      </c>
      <c r="Q222" s="58">
        <f t="shared" si="30"/>
        <v>2141.7486934877966</v>
      </c>
      <c r="R222" s="96">
        <f t="shared" si="31"/>
        <v>1321.6769945489471</v>
      </c>
      <c r="T222" s="96">
        <v>1323.9335801096011</v>
      </c>
      <c r="U222" s="5">
        <f t="shared" si="32"/>
        <v>-2.2565855606540026</v>
      </c>
    </row>
    <row r="223" spans="2:21" x14ac:dyDescent="0.35">
      <c r="B223">
        <v>866</v>
      </c>
      <c r="C223" s="17">
        <v>8</v>
      </c>
      <c r="D223" s="22" t="s">
        <v>228</v>
      </c>
      <c r="E223" s="90">
        <v>137.85276769715006</v>
      </c>
      <c r="F223" s="90">
        <f>INDEX('Revised 2020 Lockdown'!H$5:H$254,MATCH(B223,'Revised 2020 Lockdown'!B$5:B$254,0))</f>
        <v>137.85276769715006</v>
      </c>
      <c r="G223" s="90">
        <f t="shared" si="26"/>
        <v>0</v>
      </c>
      <c r="H223" s="5">
        <v>51780.81</v>
      </c>
      <c r="I223" s="5">
        <f>INDEX('Revised 2020 Lockdown'!E$5:E$254,MATCH(B223,'Revised 2020 Lockdown'!B$5:B$254,0))</f>
        <v>51780.81</v>
      </c>
      <c r="J223" s="5">
        <f t="shared" si="27"/>
        <v>0</v>
      </c>
      <c r="K223" s="5">
        <v>0</v>
      </c>
      <c r="L223" s="5">
        <f>INDEX('Revised 2020 Lockdown'!F$5:F$254,MATCH(B223,'Revised 2020 Lockdown'!B$5:B$254,0))</f>
        <v>0</v>
      </c>
      <c r="M223" s="5">
        <f t="shared" si="28"/>
        <v>0</v>
      </c>
      <c r="N223" s="5">
        <f t="shared" si="25"/>
        <v>51780.81</v>
      </c>
      <c r="O223" s="60">
        <f>INDEX('Revised 2020 Lockdown'!G$5:G$254,MATCH(B223,'Revised 2020 Lockdown'!B$5:B$254,0))</f>
        <v>51780.81</v>
      </c>
      <c r="P223" s="5">
        <f t="shared" si="29"/>
        <v>0</v>
      </c>
      <c r="Q223" s="58">
        <f t="shared" si="30"/>
        <v>375.62401441048837</v>
      </c>
      <c r="R223" s="96">
        <f t="shared" si="31"/>
        <v>24926.883092193511</v>
      </c>
      <c r="T223" s="96">
        <v>24969.442389729858</v>
      </c>
      <c r="U223" s="5">
        <f t="shared" si="32"/>
        <v>-42.559297536347003</v>
      </c>
    </row>
    <row r="224" spans="2:21" x14ac:dyDescent="0.35">
      <c r="B224">
        <v>871</v>
      </c>
      <c r="C224" s="17">
        <v>8</v>
      </c>
      <c r="D224" s="22" t="s">
        <v>229</v>
      </c>
      <c r="E224" s="90">
        <v>18.023491155764308</v>
      </c>
      <c r="F224" s="90">
        <f>INDEX('Revised 2020 Lockdown'!H$5:H$254,MATCH(B224,'Revised 2020 Lockdown'!B$5:B$254,0))</f>
        <v>18.023491155764308</v>
      </c>
      <c r="G224" s="90">
        <f t="shared" si="26"/>
        <v>0</v>
      </c>
      <c r="H224" s="5">
        <v>15504.97</v>
      </c>
      <c r="I224" s="5">
        <f>INDEX('Revised 2020 Lockdown'!E$5:E$254,MATCH(B224,'Revised 2020 Lockdown'!B$5:B$254,0))</f>
        <v>15504.97</v>
      </c>
      <c r="J224" s="5">
        <f t="shared" si="27"/>
        <v>0</v>
      </c>
      <c r="K224" s="5">
        <v>0</v>
      </c>
      <c r="L224" s="5">
        <f>INDEX('Revised 2020 Lockdown'!F$5:F$254,MATCH(B224,'Revised 2020 Lockdown'!B$5:B$254,0))</f>
        <v>0</v>
      </c>
      <c r="M224" s="5">
        <f t="shared" si="28"/>
        <v>0</v>
      </c>
      <c r="N224" s="5">
        <f t="shared" si="25"/>
        <v>15504.97</v>
      </c>
      <c r="O224" s="60">
        <f>INDEX('Revised 2020 Lockdown'!G$5:G$254,MATCH(B224,'Revised 2020 Lockdown'!B$5:B$254,0))</f>
        <v>15504.97</v>
      </c>
      <c r="P224" s="5">
        <f t="shared" si="29"/>
        <v>0</v>
      </c>
      <c r="Q224" s="58">
        <f t="shared" si="30"/>
        <v>860.26452178445845</v>
      </c>
      <c r="R224" s="96">
        <f t="shared" si="31"/>
        <v>7463.973130933402</v>
      </c>
      <c r="T224" s="96">
        <v>7476.7168603482596</v>
      </c>
      <c r="U224" s="5">
        <f t="shared" si="32"/>
        <v>-12.743729414857626</v>
      </c>
    </row>
    <row r="225" spans="2:21" x14ac:dyDescent="0.35">
      <c r="B225">
        <v>873</v>
      </c>
      <c r="C225" s="17">
        <v>8</v>
      </c>
      <c r="D225" s="22" t="s">
        <v>230</v>
      </c>
      <c r="E225" s="90">
        <v>162.88999999999999</v>
      </c>
      <c r="F225" s="90">
        <f>INDEX('Revised 2020 Lockdown'!H$5:H$254,MATCH(B225,'Revised 2020 Lockdown'!B$5:B$254,0))</f>
        <v>162.88999999999999</v>
      </c>
      <c r="G225" s="90">
        <f t="shared" si="26"/>
        <v>0</v>
      </c>
      <c r="H225" s="5">
        <v>93827.54</v>
      </c>
      <c r="I225" s="5">
        <f>INDEX('Revised 2020 Lockdown'!E$5:E$254,MATCH(B225,'Revised 2020 Lockdown'!B$5:B$254,0))</f>
        <v>93827.54</v>
      </c>
      <c r="J225" s="5">
        <f t="shared" si="27"/>
        <v>0</v>
      </c>
      <c r="K225" s="5">
        <v>0</v>
      </c>
      <c r="L225" s="5">
        <f>INDEX('Revised 2020 Lockdown'!F$5:F$254,MATCH(B225,'Revised 2020 Lockdown'!B$5:B$254,0))</f>
        <v>0</v>
      </c>
      <c r="M225" s="5">
        <f t="shared" si="28"/>
        <v>0</v>
      </c>
      <c r="N225" s="5">
        <f t="shared" si="25"/>
        <v>93827.54</v>
      </c>
      <c r="O225" s="60">
        <f>INDEX('Revised 2020 Lockdown'!G$5:G$254,MATCH(B225,'Revised 2020 Lockdown'!B$5:B$254,0))</f>
        <v>93827.54</v>
      </c>
      <c r="P225" s="5">
        <f t="shared" si="29"/>
        <v>0</v>
      </c>
      <c r="Q225" s="58">
        <f t="shared" si="30"/>
        <v>576.01780342562472</v>
      </c>
      <c r="R225" s="96">
        <f t="shared" si="31"/>
        <v>45167.855049160302</v>
      </c>
      <c r="T225" s="96">
        <v>45244.973081728036</v>
      </c>
      <c r="U225" s="5">
        <f t="shared" si="32"/>
        <v>-77.11803256773419</v>
      </c>
    </row>
    <row r="226" spans="2:21" x14ac:dyDescent="0.35">
      <c r="B226">
        <v>897</v>
      </c>
      <c r="C226" s="17">
        <v>8</v>
      </c>
      <c r="D226" s="22" t="s">
        <v>231</v>
      </c>
      <c r="E226" s="90">
        <v>89.939751791871316</v>
      </c>
      <c r="F226" s="90">
        <f>INDEX('Revised 2020 Lockdown'!H$5:H$254,MATCH(B226,'Revised 2020 Lockdown'!B$5:B$254,0))</f>
        <v>89.939751791871316</v>
      </c>
      <c r="G226" s="90">
        <f t="shared" si="26"/>
        <v>0</v>
      </c>
      <c r="H226" s="5">
        <v>351541.58</v>
      </c>
      <c r="I226" s="5">
        <f>INDEX('Revised 2020 Lockdown'!E$5:E$254,MATCH(B226,'Revised 2020 Lockdown'!B$5:B$254,0))</f>
        <v>351541.58</v>
      </c>
      <c r="J226" s="5">
        <f t="shared" si="27"/>
        <v>0</v>
      </c>
      <c r="K226" s="5">
        <v>200</v>
      </c>
      <c r="L226" s="5">
        <f>INDEX('Revised 2020 Lockdown'!F$5:F$254,MATCH(B226,'Revised 2020 Lockdown'!B$5:B$254,0))</f>
        <v>200</v>
      </c>
      <c r="M226" s="5">
        <f t="shared" si="28"/>
        <v>0</v>
      </c>
      <c r="N226" s="5">
        <f t="shared" si="25"/>
        <v>351341.58</v>
      </c>
      <c r="O226" s="60">
        <f>INDEX('Revised 2020 Lockdown'!G$5:G$254,MATCH(B226,'Revised 2020 Lockdown'!B$5:B$254,0))</f>
        <v>351341.58</v>
      </c>
      <c r="P226" s="5">
        <f t="shared" si="29"/>
        <v>0</v>
      </c>
      <c r="Q226" s="58">
        <f t="shared" si="30"/>
        <v>3906.4103802847494</v>
      </c>
      <c r="R226" s="96">
        <f t="shared" si="31"/>
        <v>169133.13040268305</v>
      </c>
      <c r="T226" s="96">
        <v>169421.9024562703</v>
      </c>
      <c r="U226" s="5">
        <f t="shared" si="32"/>
        <v>-288.77205358725041</v>
      </c>
    </row>
    <row r="227" spans="2:21" x14ac:dyDescent="0.35">
      <c r="B227">
        <v>905</v>
      </c>
      <c r="C227" s="17">
        <v>8</v>
      </c>
      <c r="D227" s="22" t="s">
        <v>232</v>
      </c>
      <c r="E227" s="90">
        <v>104.80390710632476</v>
      </c>
      <c r="F227" s="90">
        <f>INDEX('Revised 2020 Lockdown'!H$5:H$254,MATCH(B227,'Revised 2020 Lockdown'!B$5:B$254,0))</f>
        <v>104.80390710632476</v>
      </c>
      <c r="G227" s="90">
        <f t="shared" si="26"/>
        <v>0</v>
      </c>
      <c r="H227" s="5">
        <v>70781.73</v>
      </c>
      <c r="I227" s="5">
        <f>INDEX('Revised 2020 Lockdown'!E$5:E$254,MATCH(B227,'Revised 2020 Lockdown'!B$5:B$254,0))</f>
        <v>70781.73</v>
      </c>
      <c r="J227" s="5">
        <f t="shared" si="27"/>
        <v>0</v>
      </c>
      <c r="K227" s="5">
        <v>0</v>
      </c>
      <c r="L227" s="5">
        <f>INDEX('Revised 2020 Lockdown'!F$5:F$254,MATCH(B227,'Revised 2020 Lockdown'!B$5:B$254,0))</f>
        <v>0</v>
      </c>
      <c r="M227" s="5">
        <f t="shared" si="28"/>
        <v>0</v>
      </c>
      <c r="N227" s="5">
        <f t="shared" si="25"/>
        <v>70781.73</v>
      </c>
      <c r="O227" s="60">
        <f>INDEX('Revised 2020 Lockdown'!G$5:G$254,MATCH(B227,'Revised 2020 Lockdown'!B$5:B$254,0))</f>
        <v>70781.73</v>
      </c>
      <c r="P227" s="5">
        <f t="shared" si="29"/>
        <v>0</v>
      </c>
      <c r="Q227" s="58">
        <f t="shared" si="30"/>
        <v>675.37300807107431</v>
      </c>
      <c r="R227" s="96">
        <f t="shared" si="31"/>
        <v>34073.779625564108</v>
      </c>
      <c r="T227" s="96">
        <v>34131.956017690987</v>
      </c>
      <c r="U227" s="5">
        <f t="shared" si="32"/>
        <v>-58.176392126879364</v>
      </c>
    </row>
    <row r="228" spans="2:21" x14ac:dyDescent="0.35">
      <c r="B228">
        <v>907</v>
      </c>
      <c r="C228" s="17">
        <v>8</v>
      </c>
      <c r="D228" s="22" t="s">
        <v>233</v>
      </c>
      <c r="E228" s="90">
        <v>12.40092665345982</v>
      </c>
      <c r="F228" s="90">
        <f>INDEX('Revised 2020 Lockdown'!H$5:H$254,MATCH(B228,'Revised 2020 Lockdown'!B$5:B$254,0))</f>
        <v>12.40092665345982</v>
      </c>
      <c r="G228" s="90">
        <f t="shared" si="26"/>
        <v>0</v>
      </c>
      <c r="H228" s="5">
        <v>19747.95</v>
      </c>
      <c r="I228" s="5">
        <f>INDEX('Revised 2020 Lockdown'!E$5:E$254,MATCH(B228,'Revised 2020 Lockdown'!B$5:B$254,0))</f>
        <v>19747.95</v>
      </c>
      <c r="J228" s="5">
        <f t="shared" si="27"/>
        <v>0</v>
      </c>
      <c r="K228" s="5">
        <v>0</v>
      </c>
      <c r="L228" s="5">
        <f>INDEX('Revised 2020 Lockdown'!F$5:F$254,MATCH(B228,'Revised 2020 Lockdown'!B$5:B$254,0))</f>
        <v>0</v>
      </c>
      <c r="M228" s="5">
        <f t="shared" si="28"/>
        <v>0</v>
      </c>
      <c r="N228" s="5">
        <f t="shared" si="25"/>
        <v>19747.95</v>
      </c>
      <c r="O228" s="60">
        <f>INDEX('Revised 2020 Lockdown'!G$5:G$254,MATCH(B228,'Revised 2020 Lockdown'!B$5:B$254,0))</f>
        <v>19747.95</v>
      </c>
      <c r="P228" s="5">
        <f t="shared" si="29"/>
        <v>0</v>
      </c>
      <c r="Q228" s="58">
        <f t="shared" si="30"/>
        <v>1592.4576083586774</v>
      </c>
      <c r="R228" s="96">
        <f t="shared" si="31"/>
        <v>9506.5110213703283</v>
      </c>
      <c r="T228" s="96">
        <v>9522.7421092923378</v>
      </c>
      <c r="U228" s="5">
        <f t="shared" si="32"/>
        <v>-16.231087922009465</v>
      </c>
    </row>
    <row r="229" spans="2:21" x14ac:dyDescent="0.35">
      <c r="B229">
        <v>914</v>
      </c>
      <c r="C229" s="17">
        <v>8</v>
      </c>
      <c r="D229" s="22" t="s">
        <v>234</v>
      </c>
      <c r="E229" s="90">
        <v>47.0140246637825</v>
      </c>
      <c r="F229" s="90">
        <f>INDEX('Revised 2020 Lockdown'!H$5:H$254,MATCH(B229,'Revised 2020 Lockdown'!B$5:B$254,0))</f>
        <v>47.0140246637825</v>
      </c>
      <c r="G229" s="90">
        <f t="shared" si="26"/>
        <v>0</v>
      </c>
      <c r="H229" s="5">
        <v>20034.88</v>
      </c>
      <c r="I229" s="5">
        <f>INDEX('Revised 2020 Lockdown'!E$5:E$254,MATCH(B229,'Revised 2020 Lockdown'!B$5:B$254,0))</f>
        <v>20034.88</v>
      </c>
      <c r="J229" s="5">
        <f t="shared" si="27"/>
        <v>0</v>
      </c>
      <c r="K229" s="5">
        <v>0</v>
      </c>
      <c r="L229" s="5">
        <f>INDEX('Revised 2020 Lockdown'!F$5:F$254,MATCH(B229,'Revised 2020 Lockdown'!B$5:B$254,0))</f>
        <v>0</v>
      </c>
      <c r="M229" s="5">
        <f t="shared" si="28"/>
        <v>0</v>
      </c>
      <c r="N229" s="5">
        <f t="shared" si="25"/>
        <v>20034.88</v>
      </c>
      <c r="O229" s="60">
        <f>INDEX('Revised 2020 Lockdown'!G$5:G$254,MATCH(B229,'Revised 2020 Lockdown'!B$5:B$254,0))</f>
        <v>20034.88</v>
      </c>
      <c r="P229" s="5">
        <f t="shared" si="29"/>
        <v>0</v>
      </c>
      <c r="Q229" s="58">
        <f t="shared" si="30"/>
        <v>426.14688155881231</v>
      </c>
      <c r="R229" s="96">
        <f t="shared" si="31"/>
        <v>9644.6369132913514</v>
      </c>
      <c r="T229" s="96">
        <v>9661.1038325810459</v>
      </c>
      <c r="U229" s="5">
        <f t="shared" si="32"/>
        <v>-16.466919289694488</v>
      </c>
    </row>
    <row r="230" spans="2:21" x14ac:dyDescent="0.35">
      <c r="B230">
        <v>918</v>
      </c>
      <c r="C230" s="17">
        <v>8</v>
      </c>
      <c r="D230" s="22" t="s">
        <v>235</v>
      </c>
      <c r="E230" s="90">
        <v>55.460906729068377</v>
      </c>
      <c r="F230" s="90">
        <f>INDEX('Revised 2020 Lockdown'!H$5:H$254,MATCH(B230,'Revised 2020 Lockdown'!B$5:B$254,0))</f>
        <v>55.460906729068377</v>
      </c>
      <c r="G230" s="90">
        <f t="shared" si="26"/>
        <v>0</v>
      </c>
      <c r="H230" s="5">
        <v>58623.87</v>
      </c>
      <c r="I230" s="5">
        <f>INDEX('Revised 2020 Lockdown'!E$5:E$254,MATCH(B230,'Revised 2020 Lockdown'!B$5:B$254,0))</f>
        <v>58623.87</v>
      </c>
      <c r="J230" s="5">
        <f t="shared" si="27"/>
        <v>0</v>
      </c>
      <c r="K230" s="5">
        <v>0</v>
      </c>
      <c r="L230" s="5">
        <f>INDEX('Revised 2020 Lockdown'!F$5:F$254,MATCH(B230,'Revised 2020 Lockdown'!B$5:B$254,0))</f>
        <v>0</v>
      </c>
      <c r="M230" s="5">
        <f t="shared" si="28"/>
        <v>0</v>
      </c>
      <c r="N230" s="5">
        <f t="shared" si="25"/>
        <v>58623.87</v>
      </c>
      <c r="O230" s="60">
        <f>INDEX('Revised 2020 Lockdown'!G$5:G$254,MATCH(B230,'Revised 2020 Lockdown'!B$5:B$254,0))</f>
        <v>58623.87</v>
      </c>
      <c r="P230" s="5">
        <f t="shared" si="29"/>
        <v>0</v>
      </c>
      <c r="Q230" s="58">
        <f t="shared" si="30"/>
        <v>1057.0305005358639</v>
      </c>
      <c r="R230" s="96">
        <f t="shared" si="31"/>
        <v>28221.079467508342</v>
      </c>
      <c r="T230" s="96">
        <v>28269.263161932242</v>
      </c>
      <c r="U230" s="5">
        <f t="shared" si="32"/>
        <v>-48.183694423900306</v>
      </c>
    </row>
    <row r="231" spans="2:21" x14ac:dyDescent="0.35">
      <c r="B231">
        <v>922</v>
      </c>
      <c r="C231" s="17">
        <v>8</v>
      </c>
      <c r="D231" s="22" t="s">
        <v>236</v>
      </c>
      <c r="E231" s="90">
        <v>150.75772640800349</v>
      </c>
      <c r="F231" s="90">
        <f>INDEX('Revised 2020 Lockdown'!H$5:H$254,MATCH(B231,'Revised 2020 Lockdown'!B$5:B$254,0))</f>
        <v>150.75772640800349</v>
      </c>
      <c r="G231" s="90">
        <f t="shared" si="26"/>
        <v>0</v>
      </c>
      <c r="H231" s="5">
        <v>148178.89000000001</v>
      </c>
      <c r="I231" s="5">
        <f>INDEX('Revised 2020 Lockdown'!E$5:E$254,MATCH(B231,'Revised 2020 Lockdown'!B$5:B$254,0))</f>
        <v>148178.89000000001</v>
      </c>
      <c r="J231" s="5">
        <f t="shared" si="27"/>
        <v>0</v>
      </c>
      <c r="K231" s="5">
        <v>7437.3</v>
      </c>
      <c r="L231" s="5">
        <f>INDEX('Revised 2020 Lockdown'!F$5:F$254,MATCH(B231,'Revised 2020 Lockdown'!B$5:B$254,0))</f>
        <v>7437.3</v>
      </c>
      <c r="M231" s="5">
        <f t="shared" si="28"/>
        <v>0</v>
      </c>
      <c r="N231" s="5">
        <f t="shared" si="25"/>
        <v>140741.59000000003</v>
      </c>
      <c r="O231" s="60">
        <f>INDEX('Revised 2020 Lockdown'!G$5:G$254,MATCH(B231,'Revised 2020 Lockdown'!B$5:B$254,0))</f>
        <v>140741.59000000003</v>
      </c>
      <c r="P231" s="5">
        <f t="shared" si="29"/>
        <v>0</v>
      </c>
      <c r="Q231" s="58">
        <f t="shared" si="30"/>
        <v>933.56137262977632</v>
      </c>
      <c r="R231" s="96">
        <f t="shared" si="31"/>
        <v>67751.917363583765</v>
      </c>
      <c r="T231" s="96">
        <v>67867.594642570883</v>
      </c>
      <c r="U231" s="5">
        <f t="shared" si="32"/>
        <v>-115.67727898711746</v>
      </c>
    </row>
    <row r="232" spans="2:21" x14ac:dyDescent="0.35">
      <c r="B232">
        <v>924</v>
      </c>
      <c r="C232" s="17">
        <v>8</v>
      </c>
      <c r="D232" s="22" t="s">
        <v>237</v>
      </c>
      <c r="E232" s="90">
        <v>74.918282186038624</v>
      </c>
      <c r="F232" s="90">
        <f>INDEX('Revised 2020 Lockdown'!H$5:H$254,MATCH(B232,'Revised 2020 Lockdown'!B$5:B$254,0))</f>
        <v>74.918282186038624</v>
      </c>
      <c r="G232" s="90">
        <f t="shared" si="26"/>
        <v>0</v>
      </c>
      <c r="H232" s="5">
        <v>48667.92</v>
      </c>
      <c r="I232" s="5">
        <f>INDEX('Revised 2020 Lockdown'!E$5:E$254,MATCH(B232,'Revised 2020 Lockdown'!B$5:B$254,0))</f>
        <v>48667.92</v>
      </c>
      <c r="J232" s="5">
        <f t="shared" si="27"/>
        <v>0</v>
      </c>
      <c r="K232" s="5">
        <v>0</v>
      </c>
      <c r="L232" s="5">
        <f>INDEX('Revised 2020 Lockdown'!F$5:F$254,MATCH(B232,'Revised 2020 Lockdown'!B$5:B$254,0))</f>
        <v>0</v>
      </c>
      <c r="M232" s="5">
        <f t="shared" si="28"/>
        <v>0</v>
      </c>
      <c r="N232" s="5">
        <f t="shared" si="25"/>
        <v>48667.92</v>
      </c>
      <c r="O232" s="60">
        <f>INDEX('Revised 2020 Lockdown'!G$5:G$254,MATCH(B232,'Revised 2020 Lockdown'!B$5:B$254,0))</f>
        <v>48667.92</v>
      </c>
      <c r="P232" s="5">
        <f t="shared" si="29"/>
        <v>0</v>
      </c>
      <c r="Q232" s="58">
        <f t="shared" si="30"/>
        <v>649.61339982605068</v>
      </c>
      <c r="R232" s="96">
        <f t="shared" si="31"/>
        <v>23428.361823235799</v>
      </c>
      <c r="T232" s="96">
        <v>23468.36259741749</v>
      </c>
      <c r="U232" s="5">
        <f t="shared" si="32"/>
        <v>-40.000774181691668</v>
      </c>
    </row>
    <row r="233" spans="2:21" x14ac:dyDescent="0.35">
      <c r="B233">
        <v>929</v>
      </c>
      <c r="C233" s="17">
        <v>8</v>
      </c>
      <c r="D233" s="22" t="s">
        <v>238</v>
      </c>
      <c r="E233" s="90">
        <v>61.552742457222074</v>
      </c>
      <c r="F233" s="90">
        <f>INDEX('Revised 2020 Lockdown'!H$5:H$254,MATCH(B233,'Revised 2020 Lockdown'!B$5:B$254,0))</f>
        <v>61.552742457222074</v>
      </c>
      <c r="G233" s="90">
        <f t="shared" si="26"/>
        <v>0</v>
      </c>
      <c r="H233" s="5">
        <v>76019.56</v>
      </c>
      <c r="I233" s="5">
        <f>INDEX('Revised 2020 Lockdown'!E$5:E$254,MATCH(B233,'Revised 2020 Lockdown'!B$5:B$254,0))</f>
        <v>76019.56</v>
      </c>
      <c r="J233" s="5">
        <f t="shared" si="27"/>
        <v>0</v>
      </c>
      <c r="K233" s="5">
        <v>0</v>
      </c>
      <c r="L233" s="5">
        <f>INDEX('Revised 2020 Lockdown'!F$5:F$254,MATCH(B233,'Revised 2020 Lockdown'!B$5:B$254,0))</f>
        <v>0</v>
      </c>
      <c r="M233" s="5">
        <f t="shared" si="28"/>
        <v>0</v>
      </c>
      <c r="N233" s="5">
        <f t="shared" si="25"/>
        <v>76019.56</v>
      </c>
      <c r="O233" s="60">
        <f>INDEX('Revised 2020 Lockdown'!G$5:G$254,MATCH(B233,'Revised 2020 Lockdown'!B$5:B$254,0))</f>
        <v>76019.56</v>
      </c>
      <c r="P233" s="5">
        <f t="shared" si="29"/>
        <v>0</v>
      </c>
      <c r="Q233" s="58">
        <f t="shared" si="30"/>
        <v>1235.0312425613217</v>
      </c>
      <c r="R233" s="96">
        <f t="shared" si="31"/>
        <v>36595.230643166651</v>
      </c>
      <c r="T233" s="96">
        <v>36657.712073500057</v>
      </c>
      <c r="U233" s="5">
        <f t="shared" si="32"/>
        <v>-62.481430333406024</v>
      </c>
    </row>
    <row r="234" spans="2:21" x14ac:dyDescent="0.35">
      <c r="B234">
        <v>955</v>
      </c>
      <c r="C234" s="17">
        <v>8</v>
      </c>
      <c r="D234" s="22" t="s">
        <v>239</v>
      </c>
      <c r="E234" s="90">
        <v>53.893651217950882</v>
      </c>
      <c r="F234" s="90">
        <f>INDEX('Revised 2020 Lockdown'!H$5:H$254,MATCH(B234,'Revised 2020 Lockdown'!B$5:B$254,0))</f>
        <v>53.893651217950882</v>
      </c>
      <c r="G234" s="90">
        <f t="shared" si="26"/>
        <v>0</v>
      </c>
      <c r="H234" s="5">
        <v>31883.37</v>
      </c>
      <c r="I234" s="5">
        <f>INDEX('Revised 2020 Lockdown'!E$5:E$254,MATCH(B234,'Revised 2020 Lockdown'!B$5:B$254,0))</f>
        <v>31883.37</v>
      </c>
      <c r="J234" s="5">
        <f t="shared" si="27"/>
        <v>0</v>
      </c>
      <c r="K234" s="5">
        <v>0</v>
      </c>
      <c r="L234" s="5">
        <f>INDEX('Revised 2020 Lockdown'!F$5:F$254,MATCH(B234,'Revised 2020 Lockdown'!B$5:B$254,0))</f>
        <v>0</v>
      </c>
      <c r="M234" s="5">
        <f t="shared" si="28"/>
        <v>0</v>
      </c>
      <c r="N234" s="5">
        <f t="shared" si="25"/>
        <v>31883.37</v>
      </c>
      <c r="O234" s="60">
        <f>INDEX('Revised 2020 Lockdown'!G$5:G$254,MATCH(B234,'Revised 2020 Lockdown'!B$5:B$254,0))</f>
        <v>31883.37</v>
      </c>
      <c r="P234" s="5">
        <f t="shared" si="29"/>
        <v>0</v>
      </c>
      <c r="Q234" s="58">
        <f t="shared" si="30"/>
        <v>591.59788359969741</v>
      </c>
      <c r="R234" s="96">
        <f t="shared" si="31"/>
        <v>15348.408736270248</v>
      </c>
      <c r="T234" s="96">
        <v>15374.614078177636</v>
      </c>
      <c r="U234" s="5">
        <f t="shared" si="32"/>
        <v>-26.205341907387265</v>
      </c>
    </row>
    <row r="235" spans="2:21" x14ac:dyDescent="0.35">
      <c r="B235">
        <v>973</v>
      </c>
      <c r="C235" s="17">
        <v>8</v>
      </c>
      <c r="D235" s="22" t="s">
        <v>240</v>
      </c>
      <c r="E235" s="90">
        <v>9.270959398245834</v>
      </c>
      <c r="F235" s="90">
        <f>INDEX('Revised 2020 Lockdown'!H$5:H$254,MATCH(B235,'Revised 2020 Lockdown'!B$5:B$254,0))</f>
        <v>9.270959398245834</v>
      </c>
      <c r="G235" s="90">
        <f t="shared" si="26"/>
        <v>0</v>
      </c>
      <c r="H235" s="5">
        <v>10476.32</v>
      </c>
      <c r="I235" s="5">
        <f>INDEX('Revised 2020 Lockdown'!E$5:E$254,MATCH(B235,'Revised 2020 Lockdown'!B$5:B$254,0))</f>
        <v>10476.32</v>
      </c>
      <c r="J235" s="5">
        <f t="shared" si="27"/>
        <v>0</v>
      </c>
      <c r="K235" s="5">
        <v>0</v>
      </c>
      <c r="L235" s="5">
        <f>INDEX('Revised 2020 Lockdown'!F$5:F$254,MATCH(B235,'Revised 2020 Lockdown'!B$5:B$254,0))</f>
        <v>0</v>
      </c>
      <c r="M235" s="5">
        <f t="shared" si="28"/>
        <v>0</v>
      </c>
      <c r="N235" s="5">
        <f t="shared" si="25"/>
        <v>10476.32</v>
      </c>
      <c r="O235" s="60">
        <f>INDEX('Revised 2020 Lockdown'!G$5:G$254,MATCH(B235,'Revised 2020 Lockdown'!B$5:B$254,0))</f>
        <v>10476.32</v>
      </c>
      <c r="P235" s="5">
        <f t="shared" si="29"/>
        <v>0</v>
      </c>
      <c r="Q235" s="58">
        <f t="shared" si="30"/>
        <v>1130.0146565178825</v>
      </c>
      <c r="R235" s="96">
        <f t="shared" si="31"/>
        <v>5043.2197541214346</v>
      </c>
      <c r="T235" s="96">
        <v>5051.8303729967665</v>
      </c>
      <c r="U235" s="5">
        <f t="shared" si="32"/>
        <v>-8.6106188753319657</v>
      </c>
    </row>
    <row r="236" spans="2:21" x14ac:dyDescent="0.35">
      <c r="B236">
        <v>974</v>
      </c>
      <c r="C236" s="17">
        <v>8</v>
      </c>
      <c r="D236" s="22" t="s">
        <v>241</v>
      </c>
      <c r="E236" s="90">
        <v>13.39</v>
      </c>
      <c r="F236" s="90">
        <f>INDEX('Revised 2020 Lockdown'!H$5:H$254,MATCH(B236,'Revised 2020 Lockdown'!B$5:B$254,0))</f>
        <v>13.39</v>
      </c>
      <c r="G236" s="90">
        <f t="shared" si="26"/>
        <v>0</v>
      </c>
      <c r="H236" s="5">
        <v>17413</v>
      </c>
      <c r="I236" s="5">
        <f>INDEX('Revised 2020 Lockdown'!E$5:E$254,MATCH(B236,'Revised 2020 Lockdown'!B$5:B$254,0))</f>
        <v>17413</v>
      </c>
      <c r="J236" s="5">
        <f t="shared" si="27"/>
        <v>0</v>
      </c>
      <c r="K236" s="5">
        <v>0</v>
      </c>
      <c r="L236" s="5">
        <f>INDEX('Revised 2020 Lockdown'!F$5:F$254,MATCH(B236,'Revised 2020 Lockdown'!B$5:B$254,0))</f>
        <v>0</v>
      </c>
      <c r="M236" s="5">
        <f t="shared" si="28"/>
        <v>0</v>
      </c>
      <c r="N236" s="5">
        <f t="shared" si="25"/>
        <v>17413</v>
      </c>
      <c r="O236" s="60">
        <f>INDEX('Revised 2020 Lockdown'!G$5:G$254,MATCH(B236,'Revised 2020 Lockdown'!B$5:B$254,0))</f>
        <v>17413</v>
      </c>
      <c r="P236" s="5">
        <f t="shared" si="29"/>
        <v>0</v>
      </c>
      <c r="Q236" s="58">
        <f t="shared" si="30"/>
        <v>1300.4480955937265</v>
      </c>
      <c r="R236" s="96">
        <f t="shared" si="31"/>
        <v>8382.484076327999</v>
      </c>
      <c r="T236" s="96">
        <v>8396.796039543724</v>
      </c>
      <c r="U236" s="5">
        <f t="shared" si="32"/>
        <v>-14.311963215724973</v>
      </c>
    </row>
    <row r="237" spans="2:21" x14ac:dyDescent="0.35">
      <c r="B237">
        <v>978</v>
      </c>
      <c r="C237" s="17">
        <v>8</v>
      </c>
      <c r="D237" s="22" t="s">
        <v>242</v>
      </c>
      <c r="E237" s="90">
        <v>27.087988365245032</v>
      </c>
      <c r="F237" s="90">
        <f>INDEX('Revised 2020 Lockdown'!H$5:H$254,MATCH(B237,'Revised 2020 Lockdown'!B$5:B$254,0))</f>
        <v>27.087988365245032</v>
      </c>
      <c r="G237" s="90">
        <f t="shared" si="26"/>
        <v>0</v>
      </c>
      <c r="H237" s="5">
        <v>28437.82</v>
      </c>
      <c r="I237" s="5">
        <f>INDEX('Revised 2020 Lockdown'!E$5:E$254,MATCH(B237,'Revised 2020 Lockdown'!B$5:B$254,0))</f>
        <v>28437.82</v>
      </c>
      <c r="J237" s="5">
        <f t="shared" si="27"/>
        <v>0</v>
      </c>
      <c r="K237" s="5">
        <v>0</v>
      </c>
      <c r="L237" s="5">
        <f>INDEX('Revised 2020 Lockdown'!F$5:F$254,MATCH(B237,'Revised 2020 Lockdown'!B$5:B$254,0))</f>
        <v>0</v>
      </c>
      <c r="M237" s="5">
        <f t="shared" si="28"/>
        <v>0</v>
      </c>
      <c r="N237" s="5">
        <f t="shared" si="25"/>
        <v>28437.82</v>
      </c>
      <c r="O237" s="60">
        <f>INDEX('Revised 2020 Lockdown'!G$5:G$254,MATCH(B237,'Revised 2020 Lockdown'!B$5:B$254,0))</f>
        <v>28437.82</v>
      </c>
      <c r="P237" s="5">
        <f t="shared" si="29"/>
        <v>0</v>
      </c>
      <c r="Q237" s="58">
        <f t="shared" si="30"/>
        <v>1049.8313723615909</v>
      </c>
      <c r="R237" s="96">
        <f t="shared" si="31"/>
        <v>13689.74750562694</v>
      </c>
      <c r="T237" s="96">
        <v>13713.120906751123</v>
      </c>
      <c r="U237" s="5">
        <f t="shared" si="32"/>
        <v>-23.373401124183147</v>
      </c>
    </row>
    <row r="238" spans="2:21" x14ac:dyDescent="0.35">
      <c r="B238">
        <v>985</v>
      </c>
      <c r="C238" s="17">
        <v>8</v>
      </c>
      <c r="D238" s="22" t="s">
        <v>243</v>
      </c>
      <c r="E238" s="90">
        <v>56.686226041007984</v>
      </c>
      <c r="F238" s="90">
        <f>INDEX('Revised 2020 Lockdown'!H$5:H$254,MATCH(B238,'Revised 2020 Lockdown'!B$5:B$254,0))</f>
        <v>56.686226041007984</v>
      </c>
      <c r="G238" s="90">
        <f t="shared" si="26"/>
        <v>0</v>
      </c>
      <c r="H238" s="5">
        <v>254362.88</v>
      </c>
      <c r="I238" s="5">
        <f>INDEX('Revised 2020 Lockdown'!E$5:E$254,MATCH(B238,'Revised 2020 Lockdown'!B$5:B$254,0))</f>
        <v>254362.88</v>
      </c>
      <c r="J238" s="5">
        <f t="shared" si="27"/>
        <v>0</v>
      </c>
      <c r="K238" s="5">
        <v>0</v>
      </c>
      <c r="L238" s="5">
        <f>INDEX('Revised 2020 Lockdown'!F$5:F$254,MATCH(B238,'Revised 2020 Lockdown'!B$5:B$254,0))</f>
        <v>0</v>
      </c>
      <c r="M238" s="5">
        <f t="shared" si="28"/>
        <v>0</v>
      </c>
      <c r="N238" s="5">
        <f t="shared" si="25"/>
        <v>254362.88</v>
      </c>
      <c r="O238" s="60">
        <f>INDEX('Revised 2020 Lockdown'!G$5:G$254,MATCH(B238,'Revised 2020 Lockdown'!B$5:B$254,0))</f>
        <v>254362.88</v>
      </c>
      <c r="P238" s="5">
        <f t="shared" si="29"/>
        <v>0</v>
      </c>
      <c r="Q238" s="58">
        <f t="shared" si="30"/>
        <v>4487.2078768480487</v>
      </c>
      <c r="R238" s="96">
        <f t="shared" si="31"/>
        <v>122448.3312013398</v>
      </c>
      <c r="T238" s="96">
        <v>122657.39524441138</v>
      </c>
      <c r="U238" s="5">
        <f t="shared" si="32"/>
        <v>-209.06404307158664</v>
      </c>
    </row>
    <row r="239" spans="2:21" x14ac:dyDescent="0.35">
      <c r="B239">
        <v>100</v>
      </c>
      <c r="C239" s="17">
        <v>9</v>
      </c>
      <c r="D239" s="22" t="s">
        <v>244</v>
      </c>
      <c r="E239" s="90">
        <v>35.870600930990676</v>
      </c>
      <c r="F239" s="90">
        <f>INDEX('Revised 2020 Lockdown'!H$5:H$254,MATCH(B239,'Revised 2020 Lockdown'!B$5:B$254,0))</f>
        <v>35.870600930990676</v>
      </c>
      <c r="G239" s="90">
        <f t="shared" si="26"/>
        <v>0</v>
      </c>
      <c r="H239" s="5">
        <v>31585.98</v>
      </c>
      <c r="I239" s="5">
        <f>INDEX('Revised 2020 Lockdown'!E$5:E$254,MATCH(B239,'Revised 2020 Lockdown'!B$5:B$254,0))</f>
        <v>31585.98</v>
      </c>
      <c r="J239" s="5">
        <f t="shared" si="27"/>
        <v>0</v>
      </c>
      <c r="K239" s="5">
        <v>0</v>
      </c>
      <c r="L239" s="5">
        <f>INDEX('Revised 2020 Lockdown'!F$5:F$254,MATCH(B239,'Revised 2020 Lockdown'!B$5:B$254,0))</f>
        <v>0</v>
      </c>
      <c r="M239" s="5">
        <f t="shared" si="28"/>
        <v>0</v>
      </c>
      <c r="N239" s="5">
        <f t="shared" si="25"/>
        <v>31585.98</v>
      </c>
      <c r="O239" s="60">
        <f>INDEX('Revised 2020 Lockdown'!G$5:G$254,MATCH(B239,'Revised 2020 Lockdown'!B$5:B$254,0))</f>
        <v>31585.98</v>
      </c>
      <c r="P239" s="5">
        <f t="shared" si="29"/>
        <v>0</v>
      </c>
      <c r="Q239" s="58">
        <f t="shared" si="30"/>
        <v>880.55341087723605</v>
      </c>
      <c r="R239" s="96">
        <f t="shared" si="31"/>
        <v>15205.247480917398</v>
      </c>
      <c r="T239" s="96">
        <v>15231.208394251838</v>
      </c>
      <c r="U239" s="5">
        <f t="shared" si="32"/>
        <v>-25.960913334440193</v>
      </c>
    </row>
    <row r="240" spans="2:21" x14ac:dyDescent="0.35">
      <c r="B240">
        <v>159</v>
      </c>
      <c r="C240" s="17">
        <v>9</v>
      </c>
      <c r="D240" s="22" t="s">
        <v>245</v>
      </c>
      <c r="E240" s="90">
        <v>778.17335536840437</v>
      </c>
      <c r="F240" s="90">
        <f>INDEX('Revised 2020 Lockdown'!H$5:H$254,MATCH(B240,'Revised 2020 Lockdown'!B$5:B$254,0))</f>
        <v>778.17335536840437</v>
      </c>
      <c r="G240" s="90">
        <f t="shared" si="26"/>
        <v>0</v>
      </c>
      <c r="H240" s="5">
        <v>297599.14</v>
      </c>
      <c r="I240" s="5">
        <f>INDEX('Revised 2020 Lockdown'!E$5:E$254,MATCH(B240,'Revised 2020 Lockdown'!B$5:B$254,0))</f>
        <v>297599.14</v>
      </c>
      <c r="J240" s="5">
        <f t="shared" si="27"/>
        <v>0</v>
      </c>
      <c r="K240" s="5">
        <v>0</v>
      </c>
      <c r="L240" s="5">
        <f>INDEX('Revised 2020 Lockdown'!F$5:F$254,MATCH(B240,'Revised 2020 Lockdown'!B$5:B$254,0))</f>
        <v>0</v>
      </c>
      <c r="M240" s="5">
        <f t="shared" si="28"/>
        <v>0</v>
      </c>
      <c r="N240" s="5">
        <f t="shared" si="25"/>
        <v>297599.14</v>
      </c>
      <c r="O240" s="60">
        <f>INDEX('Revised 2020 Lockdown'!G$5:G$254,MATCH(B240,'Revised 2020 Lockdown'!B$5:B$254,0))</f>
        <v>297599.14</v>
      </c>
      <c r="P240" s="5">
        <f t="shared" si="29"/>
        <v>0</v>
      </c>
      <c r="Q240" s="58">
        <f t="shared" si="30"/>
        <v>382.4329604026471</v>
      </c>
      <c r="R240" s="96">
        <f t="shared" si="31"/>
        <v>143261.93373794906</v>
      </c>
      <c r="T240" s="96">
        <v>143506.53420568645</v>
      </c>
      <c r="U240" s="5">
        <f t="shared" si="32"/>
        <v>-244.60046773738577</v>
      </c>
    </row>
    <row r="241" spans="2:21" x14ac:dyDescent="0.35">
      <c r="B241">
        <v>173</v>
      </c>
      <c r="C241" s="17">
        <v>9</v>
      </c>
      <c r="D241" s="22" t="s">
        <v>246</v>
      </c>
      <c r="E241" s="90">
        <v>338.94000000000011</v>
      </c>
      <c r="F241" s="90">
        <f>INDEX('Revised 2020 Lockdown'!H$5:H$254,MATCH(B241,'Revised 2020 Lockdown'!B$5:B$254,0))</f>
        <v>338.94000000000011</v>
      </c>
      <c r="G241" s="90">
        <f t="shared" si="26"/>
        <v>0</v>
      </c>
      <c r="H241" s="5">
        <v>221080.77</v>
      </c>
      <c r="I241" s="5">
        <f>INDEX('Revised 2020 Lockdown'!E$5:E$254,MATCH(B241,'Revised 2020 Lockdown'!B$5:B$254,0))</f>
        <v>221080.77</v>
      </c>
      <c r="J241" s="5">
        <f t="shared" si="27"/>
        <v>0</v>
      </c>
      <c r="K241" s="5">
        <v>0</v>
      </c>
      <c r="L241" s="5">
        <f>INDEX('Revised 2020 Lockdown'!F$5:F$254,MATCH(B241,'Revised 2020 Lockdown'!B$5:B$254,0))</f>
        <v>0</v>
      </c>
      <c r="M241" s="5">
        <f t="shared" si="28"/>
        <v>0</v>
      </c>
      <c r="N241" s="5">
        <f t="shared" si="25"/>
        <v>221080.77</v>
      </c>
      <c r="O241" s="60">
        <f>INDEX('Revised 2020 Lockdown'!G$5:G$254,MATCH(B241,'Revised 2020 Lockdown'!B$5:B$254,0))</f>
        <v>221080.77</v>
      </c>
      <c r="P241" s="5">
        <f t="shared" si="29"/>
        <v>0</v>
      </c>
      <c r="Q241" s="58">
        <f t="shared" si="30"/>
        <v>652.27110993096096</v>
      </c>
      <c r="R241" s="96">
        <f t="shared" si="31"/>
        <v>106426.57980286756</v>
      </c>
      <c r="T241" s="96">
        <v>106608.28886207298</v>
      </c>
      <c r="U241" s="5">
        <f t="shared" si="32"/>
        <v>-181.70905920541554</v>
      </c>
    </row>
    <row r="242" spans="2:21" x14ac:dyDescent="0.35">
      <c r="B242">
        <v>204</v>
      </c>
      <c r="C242" s="17">
        <v>9</v>
      </c>
      <c r="D242" s="22" t="s">
        <v>247</v>
      </c>
      <c r="E242" s="90">
        <v>613.34</v>
      </c>
      <c r="F242" s="90">
        <f>INDEX('Revised 2020 Lockdown'!H$5:H$254,MATCH(B242,'Revised 2020 Lockdown'!B$5:B$254,0))</f>
        <v>613.34</v>
      </c>
      <c r="G242" s="90">
        <f t="shared" si="26"/>
        <v>0</v>
      </c>
      <c r="H242" s="5">
        <v>514725.42</v>
      </c>
      <c r="I242" s="5">
        <f>INDEX('Revised 2020 Lockdown'!E$5:E$254,MATCH(B242,'Revised 2020 Lockdown'!B$5:B$254,0))</f>
        <v>514725.42</v>
      </c>
      <c r="J242" s="5">
        <f t="shared" si="27"/>
        <v>0</v>
      </c>
      <c r="K242" s="5">
        <v>0</v>
      </c>
      <c r="L242" s="5">
        <f>INDEX('Revised 2020 Lockdown'!F$5:F$254,MATCH(B242,'Revised 2020 Lockdown'!B$5:B$254,0))</f>
        <v>0</v>
      </c>
      <c r="M242" s="5">
        <f t="shared" si="28"/>
        <v>0</v>
      </c>
      <c r="N242" s="5">
        <f t="shared" si="25"/>
        <v>514725.42</v>
      </c>
      <c r="O242" s="60">
        <f>INDEX('Revised 2020 Lockdown'!G$5:G$254,MATCH(B242,'Revised 2020 Lockdown'!B$5:B$254,0))</f>
        <v>514725.42</v>
      </c>
      <c r="P242" s="5">
        <f t="shared" si="29"/>
        <v>0</v>
      </c>
      <c r="Q242" s="58">
        <f t="shared" si="30"/>
        <v>839.21710633580062</v>
      </c>
      <c r="R242" s="96">
        <f t="shared" si="31"/>
        <v>247784.85251428481</v>
      </c>
      <c r="T242" s="96">
        <v>248207.91179627174</v>
      </c>
      <c r="U242" s="5">
        <f t="shared" si="32"/>
        <v>-423.05928198693437</v>
      </c>
    </row>
    <row r="243" spans="2:21" x14ac:dyDescent="0.35">
      <c r="B243">
        <v>218</v>
      </c>
      <c r="C243" s="17">
        <v>9</v>
      </c>
      <c r="D243" s="22" t="s">
        <v>248</v>
      </c>
      <c r="E243" s="90">
        <v>260.49767159363108</v>
      </c>
      <c r="F243" s="90">
        <f>INDEX('Revised 2020 Lockdown'!H$5:H$254,MATCH(B243,'Revised 2020 Lockdown'!B$5:B$254,0))</f>
        <v>260.49767159363108</v>
      </c>
      <c r="G243" s="90">
        <f t="shared" si="26"/>
        <v>0</v>
      </c>
      <c r="H243" s="5">
        <v>223088.93</v>
      </c>
      <c r="I243" s="5">
        <f>INDEX('Revised 2020 Lockdown'!E$5:E$254,MATCH(B243,'Revised 2020 Lockdown'!B$5:B$254,0))</f>
        <v>223088.93</v>
      </c>
      <c r="J243" s="5">
        <f t="shared" si="27"/>
        <v>0</v>
      </c>
      <c r="K243" s="5">
        <v>90</v>
      </c>
      <c r="L243" s="5">
        <f>INDEX('Revised 2020 Lockdown'!F$5:F$254,MATCH(B243,'Revised 2020 Lockdown'!B$5:B$254,0))</f>
        <v>90</v>
      </c>
      <c r="M243" s="5">
        <f t="shared" si="28"/>
        <v>0</v>
      </c>
      <c r="N243" s="5">
        <f t="shared" si="25"/>
        <v>222998.93</v>
      </c>
      <c r="O243" s="60">
        <f>INDEX('Revised 2020 Lockdown'!G$5:G$254,MATCH(B243,'Revised 2020 Lockdown'!B$5:B$254,0))</f>
        <v>222998.93</v>
      </c>
      <c r="P243" s="5">
        <f t="shared" si="29"/>
        <v>0</v>
      </c>
      <c r="Q243" s="58">
        <f t="shared" si="30"/>
        <v>856.04960933344523</v>
      </c>
      <c r="R243" s="96">
        <f t="shared" si="31"/>
        <v>107349.96725223582</v>
      </c>
      <c r="T243" s="96">
        <v>107533.25287121622</v>
      </c>
      <c r="U243" s="5">
        <f t="shared" si="32"/>
        <v>-183.28561898040061</v>
      </c>
    </row>
    <row r="244" spans="2:21" x14ac:dyDescent="0.35">
      <c r="B244">
        <v>230</v>
      </c>
      <c r="C244" s="17">
        <v>9</v>
      </c>
      <c r="D244" s="22" t="s">
        <v>249</v>
      </c>
      <c r="E244" s="90">
        <v>133.83789165377343</v>
      </c>
      <c r="F244" s="90">
        <f>INDEX('Revised 2020 Lockdown'!H$5:H$254,MATCH(B244,'Revised 2020 Lockdown'!B$5:B$254,0))</f>
        <v>133.83789165377343</v>
      </c>
      <c r="G244" s="90">
        <f t="shared" si="26"/>
        <v>0</v>
      </c>
      <c r="H244" s="5">
        <v>129718.27</v>
      </c>
      <c r="I244" s="5">
        <f>INDEX('Revised 2020 Lockdown'!E$5:E$254,MATCH(B244,'Revised 2020 Lockdown'!B$5:B$254,0))</f>
        <v>129718.27</v>
      </c>
      <c r="J244" s="5">
        <f t="shared" si="27"/>
        <v>0</v>
      </c>
      <c r="K244" s="5">
        <v>2538</v>
      </c>
      <c r="L244" s="5">
        <f>INDEX('Revised 2020 Lockdown'!F$5:F$254,MATCH(B244,'Revised 2020 Lockdown'!B$5:B$254,0))</f>
        <v>2538</v>
      </c>
      <c r="M244" s="5">
        <f t="shared" si="28"/>
        <v>0</v>
      </c>
      <c r="N244" s="5">
        <f t="shared" si="25"/>
        <v>127180.27</v>
      </c>
      <c r="O244" s="60">
        <f>INDEX('Revised 2020 Lockdown'!G$5:G$254,MATCH(B244,'Revised 2020 Lockdown'!B$5:B$254,0))</f>
        <v>127180.27</v>
      </c>
      <c r="P244" s="5">
        <f t="shared" si="29"/>
        <v>0</v>
      </c>
      <c r="Q244" s="58">
        <f t="shared" si="30"/>
        <v>950.25607792002518</v>
      </c>
      <c r="R244" s="96">
        <f t="shared" si="31"/>
        <v>61223.602371681824</v>
      </c>
      <c r="T244" s="96">
        <v>61328.133431579939</v>
      </c>
      <c r="U244" s="5">
        <f t="shared" si="32"/>
        <v>-104.53105989811593</v>
      </c>
    </row>
    <row r="245" spans="2:21" x14ac:dyDescent="0.35">
      <c r="B245">
        <v>277</v>
      </c>
      <c r="C245" s="17">
        <v>9</v>
      </c>
      <c r="D245" s="22" t="s">
        <v>250</v>
      </c>
      <c r="E245" s="90">
        <v>97.350000000000009</v>
      </c>
      <c r="F245" s="90">
        <f>INDEX('Revised 2020 Lockdown'!H$5:H$254,MATCH(B245,'Revised 2020 Lockdown'!B$5:B$254,0))</f>
        <v>97.350000000000009</v>
      </c>
      <c r="G245" s="90">
        <f t="shared" si="26"/>
        <v>0</v>
      </c>
      <c r="H245" s="5">
        <v>207513.60000000001</v>
      </c>
      <c r="I245" s="5">
        <f>INDEX('Revised 2020 Lockdown'!E$5:E$254,MATCH(B245,'Revised 2020 Lockdown'!B$5:B$254,0))</f>
        <v>207513.60000000001</v>
      </c>
      <c r="J245" s="5">
        <f t="shared" si="27"/>
        <v>0</v>
      </c>
      <c r="K245" s="5">
        <v>0</v>
      </c>
      <c r="L245" s="5">
        <f>INDEX('Revised 2020 Lockdown'!F$5:F$254,MATCH(B245,'Revised 2020 Lockdown'!B$5:B$254,0))</f>
        <v>0</v>
      </c>
      <c r="M245" s="5">
        <f t="shared" si="28"/>
        <v>0</v>
      </c>
      <c r="N245" s="5">
        <f t="shared" si="25"/>
        <v>207513.60000000001</v>
      </c>
      <c r="O245" s="60">
        <f>INDEX('Revised 2020 Lockdown'!G$5:G$254,MATCH(B245,'Revised 2020 Lockdown'!B$5:B$254,0))</f>
        <v>207513.60000000001</v>
      </c>
      <c r="P245" s="5">
        <f t="shared" si="29"/>
        <v>0</v>
      </c>
      <c r="Q245" s="58">
        <f t="shared" si="30"/>
        <v>2131.6240369799689</v>
      </c>
      <c r="R245" s="96">
        <f t="shared" si="31"/>
        <v>99895.448666025273</v>
      </c>
      <c r="T245" s="96">
        <v>100066.00669795329</v>
      </c>
      <c r="U245" s="5">
        <f t="shared" si="32"/>
        <v>-170.5580319280125</v>
      </c>
    </row>
    <row r="246" spans="2:21" x14ac:dyDescent="0.35">
      <c r="B246">
        <v>279</v>
      </c>
      <c r="C246" s="17">
        <v>9</v>
      </c>
      <c r="D246" s="22" t="s">
        <v>251</v>
      </c>
      <c r="E246" s="90">
        <v>318.31362465983165</v>
      </c>
      <c r="F246" s="90">
        <f>INDEX('Revised 2020 Lockdown'!H$5:H$254,MATCH(B246,'Revised 2020 Lockdown'!B$5:B$254,0))</f>
        <v>318.31362465983165</v>
      </c>
      <c r="G246" s="90">
        <f t="shared" si="26"/>
        <v>0</v>
      </c>
      <c r="H246" s="5">
        <v>182431.5</v>
      </c>
      <c r="I246" s="5">
        <f>INDEX('Revised 2020 Lockdown'!E$5:E$254,MATCH(B246,'Revised 2020 Lockdown'!B$5:B$254,0))</f>
        <v>182431.5</v>
      </c>
      <c r="J246" s="5">
        <f t="shared" si="27"/>
        <v>0</v>
      </c>
      <c r="K246" s="5">
        <v>106</v>
      </c>
      <c r="L246" s="5">
        <f>INDEX('Revised 2020 Lockdown'!F$5:F$254,MATCH(B246,'Revised 2020 Lockdown'!B$5:B$254,0))</f>
        <v>106</v>
      </c>
      <c r="M246" s="5">
        <f t="shared" si="28"/>
        <v>0</v>
      </c>
      <c r="N246" s="5">
        <f t="shared" si="25"/>
        <v>182325.5</v>
      </c>
      <c r="O246" s="60">
        <f>INDEX('Revised 2020 Lockdown'!G$5:G$254,MATCH(B246,'Revised 2020 Lockdown'!B$5:B$254,0))</f>
        <v>182325.5</v>
      </c>
      <c r="P246" s="5">
        <f t="shared" si="29"/>
        <v>0</v>
      </c>
      <c r="Q246" s="58">
        <f t="shared" si="30"/>
        <v>572.78572412614631</v>
      </c>
      <c r="R246" s="96">
        <f t="shared" si="31"/>
        <v>87770.091337422651</v>
      </c>
      <c r="T246" s="96">
        <v>87919.946953875216</v>
      </c>
      <c r="U246" s="5">
        <f t="shared" si="32"/>
        <v>-149.8556164525653</v>
      </c>
    </row>
    <row r="247" spans="2:21" x14ac:dyDescent="0.35">
      <c r="B247">
        <v>331</v>
      </c>
      <c r="C247" s="17">
        <v>9</v>
      </c>
      <c r="D247" s="22" t="s">
        <v>252</v>
      </c>
      <c r="E247" s="90">
        <v>375.16496465067547</v>
      </c>
      <c r="F247" s="90">
        <f>INDEX('Revised 2020 Lockdown'!H$5:H$254,MATCH(B247,'Revised 2020 Lockdown'!B$5:B$254,0))</f>
        <v>375.16496465067547</v>
      </c>
      <c r="G247" s="90">
        <f t="shared" si="26"/>
        <v>0</v>
      </c>
      <c r="H247" s="5">
        <v>175919.58</v>
      </c>
      <c r="I247" s="5">
        <f>INDEX('Revised 2020 Lockdown'!E$5:E$254,MATCH(B247,'Revised 2020 Lockdown'!B$5:B$254,0))</f>
        <v>175919.58</v>
      </c>
      <c r="J247" s="5">
        <f t="shared" si="27"/>
        <v>0</v>
      </c>
      <c r="K247" s="5">
        <v>0</v>
      </c>
      <c r="L247" s="5">
        <f>INDEX('Revised 2020 Lockdown'!F$5:F$254,MATCH(B247,'Revised 2020 Lockdown'!B$5:B$254,0))</f>
        <v>0</v>
      </c>
      <c r="M247" s="5">
        <f t="shared" si="28"/>
        <v>0</v>
      </c>
      <c r="N247" s="5">
        <f t="shared" si="25"/>
        <v>175919.58</v>
      </c>
      <c r="O247" s="60">
        <f>INDEX('Revised 2020 Lockdown'!G$5:G$254,MATCH(B247,'Revised 2020 Lockdown'!B$5:B$254,0))</f>
        <v>175919.58</v>
      </c>
      <c r="P247" s="5">
        <f t="shared" si="29"/>
        <v>0</v>
      </c>
      <c r="Q247" s="58">
        <f t="shared" si="30"/>
        <v>468.91260265681433</v>
      </c>
      <c r="R247" s="96">
        <f t="shared" si="31"/>
        <v>84686.330791035973</v>
      </c>
      <c r="T247" s="96">
        <v>84830.921301452661</v>
      </c>
      <c r="U247" s="5">
        <f t="shared" si="32"/>
        <v>-144.59051041668863</v>
      </c>
    </row>
    <row r="248" spans="2:21" x14ac:dyDescent="0.35">
      <c r="B248">
        <v>369</v>
      </c>
      <c r="C248" s="17">
        <v>9</v>
      </c>
      <c r="D248" s="22" t="s">
        <v>253</v>
      </c>
      <c r="E248" s="90">
        <v>421.83</v>
      </c>
      <c r="F248" s="90">
        <f>INDEX('Revised 2020 Lockdown'!H$5:H$254,MATCH(B248,'Revised 2020 Lockdown'!B$5:B$254,0))</f>
        <v>421.83</v>
      </c>
      <c r="G248" s="90">
        <f t="shared" si="26"/>
        <v>0</v>
      </c>
      <c r="H248" s="5">
        <v>448718.25</v>
      </c>
      <c r="I248" s="5">
        <f>INDEX('Revised 2020 Lockdown'!E$5:E$254,MATCH(B248,'Revised 2020 Lockdown'!B$5:B$254,0))</f>
        <v>448718.25</v>
      </c>
      <c r="J248" s="5">
        <f t="shared" si="27"/>
        <v>0</v>
      </c>
      <c r="K248" s="5">
        <v>0</v>
      </c>
      <c r="L248" s="5">
        <f>INDEX('Revised 2020 Lockdown'!F$5:F$254,MATCH(B248,'Revised 2020 Lockdown'!B$5:B$254,0))</f>
        <v>0</v>
      </c>
      <c r="M248" s="5">
        <f t="shared" si="28"/>
        <v>0</v>
      </c>
      <c r="N248" s="5">
        <f t="shared" si="25"/>
        <v>448718.25</v>
      </c>
      <c r="O248" s="60">
        <f>INDEX('Revised 2020 Lockdown'!G$5:G$254,MATCH(B248,'Revised 2020 Lockdown'!B$5:B$254,0))</f>
        <v>448718.25</v>
      </c>
      <c r="P248" s="5">
        <f t="shared" si="29"/>
        <v>0</v>
      </c>
      <c r="Q248" s="58">
        <f t="shared" si="30"/>
        <v>1063.7419102482042</v>
      </c>
      <c r="R248" s="96">
        <f t="shared" si="31"/>
        <v>216009.50929666148</v>
      </c>
      <c r="T248" s="96">
        <v>216378.31645730147</v>
      </c>
      <c r="U248" s="5">
        <f t="shared" si="32"/>
        <v>-368.80716063998989</v>
      </c>
    </row>
    <row r="249" spans="2:21" x14ac:dyDescent="0.35">
      <c r="B249">
        <v>416</v>
      </c>
      <c r="C249" s="17">
        <v>9</v>
      </c>
      <c r="D249" s="22" t="s">
        <v>254</v>
      </c>
      <c r="E249" s="90">
        <v>67.157926543754371</v>
      </c>
      <c r="F249" s="90">
        <f>INDEX('Revised 2020 Lockdown'!H$5:H$254,MATCH(B249,'Revised 2020 Lockdown'!B$5:B$254,0))</f>
        <v>67.157926543754371</v>
      </c>
      <c r="G249" s="90">
        <f t="shared" si="26"/>
        <v>0</v>
      </c>
      <c r="H249" s="5">
        <v>87493.47</v>
      </c>
      <c r="I249" s="5">
        <f>INDEX('Revised 2020 Lockdown'!E$5:E$254,MATCH(B249,'Revised 2020 Lockdown'!B$5:B$254,0))</f>
        <v>87493.47</v>
      </c>
      <c r="J249" s="5">
        <f t="shared" si="27"/>
        <v>0</v>
      </c>
      <c r="K249" s="5">
        <v>0</v>
      </c>
      <c r="L249" s="5">
        <f>INDEX('Revised 2020 Lockdown'!F$5:F$254,MATCH(B249,'Revised 2020 Lockdown'!B$5:B$254,0))</f>
        <v>0</v>
      </c>
      <c r="M249" s="5">
        <f t="shared" si="28"/>
        <v>0</v>
      </c>
      <c r="N249" s="5">
        <f t="shared" si="25"/>
        <v>87493.47</v>
      </c>
      <c r="O249" s="60">
        <f>INDEX('Revised 2020 Lockdown'!G$5:G$254,MATCH(B249,'Revised 2020 Lockdown'!B$5:B$254,0))</f>
        <v>87493.47</v>
      </c>
      <c r="P249" s="5">
        <f t="shared" si="29"/>
        <v>0</v>
      </c>
      <c r="Q249" s="58">
        <f t="shared" si="30"/>
        <v>1302.8018359530015</v>
      </c>
      <c r="R249" s="96">
        <f t="shared" si="31"/>
        <v>42118.682539348854</v>
      </c>
      <c r="T249" s="96">
        <v>42190.594520297345</v>
      </c>
      <c r="U249" s="5">
        <f t="shared" si="32"/>
        <v>-71.911980948490964</v>
      </c>
    </row>
    <row r="250" spans="2:21" x14ac:dyDescent="0.35">
      <c r="B250">
        <v>420</v>
      </c>
      <c r="C250" s="17">
        <v>9</v>
      </c>
      <c r="D250" s="22" t="s">
        <v>255</v>
      </c>
      <c r="E250" s="90">
        <v>398.26210274242231</v>
      </c>
      <c r="F250" s="90">
        <f>INDEX('Revised 2020 Lockdown'!H$5:H$254,MATCH(B250,'Revised 2020 Lockdown'!B$5:B$254,0))</f>
        <v>398.26210274242231</v>
      </c>
      <c r="G250" s="90">
        <f t="shared" si="26"/>
        <v>0</v>
      </c>
      <c r="H250" s="5">
        <v>372339.55</v>
      </c>
      <c r="I250" s="5">
        <f>INDEX('Revised 2020 Lockdown'!E$5:E$254,MATCH(B250,'Revised 2020 Lockdown'!B$5:B$254,0))</f>
        <v>372339.55</v>
      </c>
      <c r="J250" s="5">
        <f t="shared" si="27"/>
        <v>0</v>
      </c>
      <c r="K250" s="5">
        <v>144.32</v>
      </c>
      <c r="L250" s="5">
        <f>INDEX('Revised 2020 Lockdown'!F$5:F$254,MATCH(B250,'Revised 2020 Lockdown'!B$5:B$254,0))</f>
        <v>144.32</v>
      </c>
      <c r="M250" s="5">
        <f t="shared" si="28"/>
        <v>0</v>
      </c>
      <c r="N250" s="5">
        <f t="shared" si="25"/>
        <v>372195.23</v>
      </c>
      <c r="O250" s="60">
        <f>INDEX('Revised 2020 Lockdown'!G$5:G$254,MATCH(B250,'Revised 2020 Lockdown'!B$5:B$254,0))</f>
        <v>372195.23</v>
      </c>
      <c r="P250" s="5">
        <f t="shared" si="29"/>
        <v>0</v>
      </c>
      <c r="Q250" s="58">
        <f t="shared" si="30"/>
        <v>934.54844796196642</v>
      </c>
      <c r="R250" s="96">
        <f t="shared" si="31"/>
        <v>179171.9168873966</v>
      </c>
      <c r="T250" s="96">
        <v>179477.82881761127</v>
      </c>
      <c r="U250" s="5">
        <f t="shared" si="32"/>
        <v>-305.91193021467188</v>
      </c>
    </row>
    <row r="251" spans="2:21" x14ac:dyDescent="0.35">
      <c r="B251">
        <v>508</v>
      </c>
      <c r="C251" s="17">
        <v>9</v>
      </c>
      <c r="D251" s="22" t="s">
        <v>256</v>
      </c>
      <c r="E251" s="90">
        <v>48.291485223038698</v>
      </c>
      <c r="F251" s="90">
        <f>INDEX('Revised 2020 Lockdown'!H$5:H$254,MATCH(B251,'Revised 2020 Lockdown'!B$5:B$254,0))</f>
        <v>48.291485223038698</v>
      </c>
      <c r="G251" s="90">
        <f t="shared" si="26"/>
        <v>0</v>
      </c>
      <c r="H251" s="5">
        <v>98187.71</v>
      </c>
      <c r="I251" s="5">
        <f>INDEX('Revised 2020 Lockdown'!E$5:E$254,MATCH(B251,'Revised 2020 Lockdown'!B$5:B$254,0))</f>
        <v>98187.71</v>
      </c>
      <c r="J251" s="5">
        <f t="shared" si="27"/>
        <v>0</v>
      </c>
      <c r="K251" s="5">
        <v>0</v>
      </c>
      <c r="L251" s="5">
        <f>INDEX('Revised 2020 Lockdown'!F$5:F$254,MATCH(B251,'Revised 2020 Lockdown'!B$5:B$254,0))</f>
        <v>0</v>
      </c>
      <c r="M251" s="5">
        <f t="shared" si="28"/>
        <v>0</v>
      </c>
      <c r="N251" s="5">
        <f t="shared" si="25"/>
        <v>98187.71</v>
      </c>
      <c r="O251" s="60">
        <f>INDEX('Revised 2020 Lockdown'!G$5:G$254,MATCH(B251,'Revised 2020 Lockdown'!B$5:B$254,0))</f>
        <v>98187.71</v>
      </c>
      <c r="P251" s="5">
        <f t="shared" si="29"/>
        <v>0</v>
      </c>
      <c r="Q251" s="58">
        <f t="shared" si="30"/>
        <v>2033.2302795515809</v>
      </c>
      <c r="R251" s="96">
        <f t="shared" si="31"/>
        <v>47266.807302940993</v>
      </c>
      <c r="T251" s="96">
        <v>47347.509013947492</v>
      </c>
      <c r="U251" s="5">
        <f t="shared" si="32"/>
        <v>-80.701711006498954</v>
      </c>
    </row>
    <row r="252" spans="2:21" x14ac:dyDescent="0.35">
      <c r="B252">
        <v>512</v>
      </c>
      <c r="C252" s="17">
        <v>9</v>
      </c>
      <c r="D252" s="22" t="s">
        <v>257</v>
      </c>
      <c r="E252" s="90">
        <v>245.73300839515298</v>
      </c>
      <c r="F252" s="90">
        <f>INDEX('Revised 2020 Lockdown'!H$5:H$254,MATCH(B252,'Revised 2020 Lockdown'!B$5:B$254,0))</f>
        <v>245.73300839515298</v>
      </c>
      <c r="G252" s="90">
        <f t="shared" si="26"/>
        <v>0</v>
      </c>
      <c r="H252" s="5">
        <v>283043.34999999998</v>
      </c>
      <c r="I252" s="5">
        <f>INDEX('Revised 2020 Lockdown'!E$5:E$254,MATCH(B252,'Revised 2020 Lockdown'!B$5:B$254,0))</f>
        <v>283043.34999999998</v>
      </c>
      <c r="J252" s="5">
        <f t="shared" si="27"/>
        <v>0</v>
      </c>
      <c r="K252" s="5">
        <v>6960.49</v>
      </c>
      <c r="L252" s="5">
        <f>INDEX('Revised 2020 Lockdown'!F$5:F$254,MATCH(B252,'Revised 2020 Lockdown'!B$5:B$254,0))</f>
        <v>6960.49</v>
      </c>
      <c r="M252" s="5">
        <f t="shared" si="28"/>
        <v>0</v>
      </c>
      <c r="N252" s="5">
        <f t="shared" si="25"/>
        <v>276082.86</v>
      </c>
      <c r="O252" s="60">
        <f>INDEX('Revised 2020 Lockdown'!G$5:G$254,MATCH(B252,'Revised 2020 Lockdown'!B$5:B$254,0))</f>
        <v>276082.86</v>
      </c>
      <c r="P252" s="5">
        <f t="shared" si="29"/>
        <v>0</v>
      </c>
      <c r="Q252" s="58">
        <f t="shared" si="30"/>
        <v>1123.5074270365935</v>
      </c>
      <c r="R252" s="96">
        <f t="shared" si="31"/>
        <v>132904.16227514457</v>
      </c>
      <c r="T252" s="96">
        <v>133131.07824234216</v>
      </c>
      <c r="U252" s="5">
        <f t="shared" si="32"/>
        <v>-226.915967197594</v>
      </c>
    </row>
    <row r="253" spans="2:21" x14ac:dyDescent="0.35">
      <c r="B253">
        <v>516</v>
      </c>
      <c r="C253" s="17">
        <v>9</v>
      </c>
      <c r="D253" s="22" t="s">
        <v>258</v>
      </c>
      <c r="E253" s="90">
        <v>446.95477199771938</v>
      </c>
      <c r="F253" s="90">
        <f>INDEX('Revised 2020 Lockdown'!H$5:H$254,MATCH(B253,'Revised 2020 Lockdown'!B$5:B$254,0))</f>
        <v>446.95477199771938</v>
      </c>
      <c r="G253" s="90">
        <f t="shared" si="26"/>
        <v>0</v>
      </c>
      <c r="H253" s="5">
        <v>153774.6</v>
      </c>
      <c r="I253" s="5">
        <f>INDEX('Revised 2020 Lockdown'!E$5:E$254,MATCH(B253,'Revised 2020 Lockdown'!B$5:B$254,0))</f>
        <v>153774.6</v>
      </c>
      <c r="J253" s="5">
        <f t="shared" si="27"/>
        <v>0</v>
      </c>
      <c r="K253" s="5">
        <v>48.06</v>
      </c>
      <c r="L253" s="5">
        <f>INDEX('Revised 2020 Lockdown'!F$5:F$254,MATCH(B253,'Revised 2020 Lockdown'!B$5:B$254,0))</f>
        <v>48.06</v>
      </c>
      <c r="M253" s="5">
        <f t="shared" si="28"/>
        <v>0</v>
      </c>
      <c r="N253" s="5">
        <f t="shared" si="25"/>
        <v>153726.54</v>
      </c>
      <c r="O253" s="60">
        <f>INDEX('Revised 2020 Lockdown'!G$5:G$254,MATCH(B253,'Revised 2020 Lockdown'!B$5:B$254,0))</f>
        <v>153726.54</v>
      </c>
      <c r="P253" s="5">
        <f t="shared" si="29"/>
        <v>0</v>
      </c>
      <c r="Q253" s="58">
        <f t="shared" si="30"/>
        <v>343.94204879590012</v>
      </c>
      <c r="R253" s="96">
        <f t="shared" si="31"/>
        <v>74002.772276976932</v>
      </c>
      <c r="T253" s="96">
        <v>74129.122049317171</v>
      </c>
      <c r="U253" s="5">
        <f t="shared" si="32"/>
        <v>-126.34977234023972</v>
      </c>
    </row>
    <row r="254" spans="2:21" x14ac:dyDescent="0.35">
      <c r="B254">
        <v>521</v>
      </c>
      <c r="C254" s="17">
        <v>9</v>
      </c>
      <c r="D254" s="22" t="s">
        <v>259</v>
      </c>
      <c r="E254" s="90">
        <v>134.01169581149534</v>
      </c>
      <c r="F254" s="90">
        <f>INDEX('Revised 2020 Lockdown'!H$5:H$254,MATCH(B254,'Revised 2020 Lockdown'!B$5:B$254,0))</f>
        <v>134.01169581149534</v>
      </c>
      <c r="G254" s="90">
        <f t="shared" si="26"/>
        <v>0</v>
      </c>
      <c r="H254" s="5">
        <v>380475.79</v>
      </c>
      <c r="I254" s="5">
        <f>INDEX('Revised 2020 Lockdown'!E$5:E$254,MATCH(B254,'Revised 2020 Lockdown'!B$5:B$254,0))</f>
        <v>380475.79</v>
      </c>
      <c r="J254" s="5">
        <f t="shared" si="27"/>
        <v>0</v>
      </c>
      <c r="K254" s="5">
        <v>26.55</v>
      </c>
      <c r="L254" s="5">
        <f>INDEX('Revised 2020 Lockdown'!F$5:F$254,MATCH(B254,'Revised 2020 Lockdown'!B$5:B$254,0))</f>
        <v>26.55</v>
      </c>
      <c r="M254" s="5">
        <f t="shared" si="28"/>
        <v>0</v>
      </c>
      <c r="N254" s="5">
        <f t="shared" si="25"/>
        <v>380449.24</v>
      </c>
      <c r="O254" s="60">
        <f>INDEX('Revised 2020 Lockdown'!G$5:G$254,MATCH(B254,'Revised 2020 Lockdown'!B$5:B$254,0))</f>
        <v>380449.24</v>
      </c>
      <c r="P254" s="5">
        <f t="shared" si="29"/>
        <v>0</v>
      </c>
      <c r="Q254" s="58">
        <f t="shared" si="30"/>
        <v>2838.9256452298814</v>
      </c>
      <c r="R254" s="96">
        <f t="shared" si="31"/>
        <v>183145.33372486586</v>
      </c>
      <c r="T254" s="96">
        <v>183458.02972947911</v>
      </c>
      <c r="U254" s="5">
        <f t="shared" si="32"/>
        <v>-312.69600461324444</v>
      </c>
    </row>
    <row r="255" spans="2:21" x14ac:dyDescent="0.35">
      <c r="B255">
        <v>522</v>
      </c>
      <c r="C255" s="17">
        <v>9</v>
      </c>
      <c r="D255" s="22" t="s">
        <v>260</v>
      </c>
      <c r="E255" s="90">
        <v>75.639569440584623</v>
      </c>
      <c r="F255" s="90">
        <f>INDEX('Revised 2020 Lockdown'!H$5:H$254,MATCH(B255,'Revised 2020 Lockdown'!B$5:B$254,0))</f>
        <v>75.639569440584623</v>
      </c>
      <c r="G255" s="90">
        <f t="shared" si="26"/>
        <v>0</v>
      </c>
      <c r="H255" s="5">
        <v>129914.25</v>
      </c>
      <c r="I255" s="5">
        <f>INDEX('Revised 2020 Lockdown'!E$5:E$254,MATCH(B255,'Revised 2020 Lockdown'!B$5:B$254,0))</f>
        <v>129914.25</v>
      </c>
      <c r="J255" s="5">
        <f t="shared" si="27"/>
        <v>0</v>
      </c>
      <c r="K255" s="5">
        <v>36</v>
      </c>
      <c r="L255" s="5">
        <f>INDEX('Revised 2020 Lockdown'!F$5:F$254,MATCH(B255,'Revised 2020 Lockdown'!B$5:B$254,0))</f>
        <v>36</v>
      </c>
      <c r="M255" s="5">
        <f t="shared" si="28"/>
        <v>0</v>
      </c>
      <c r="N255" s="5">
        <f t="shared" si="25"/>
        <v>129878.25</v>
      </c>
      <c r="O255" s="60">
        <f>INDEX('Revised 2020 Lockdown'!G$5:G$254,MATCH(B255,'Revised 2020 Lockdown'!B$5:B$254,0))</f>
        <v>129878.25</v>
      </c>
      <c r="P255" s="5">
        <f t="shared" si="29"/>
        <v>0</v>
      </c>
      <c r="Q255" s="58">
        <f t="shared" si="30"/>
        <v>1717.0675475885703</v>
      </c>
      <c r="R255" s="96">
        <f t="shared" si="31"/>
        <v>62522.389162484753</v>
      </c>
      <c r="T255" s="96">
        <v>62629.13772600182</v>
      </c>
      <c r="U255" s="5">
        <f t="shared" si="32"/>
        <v>-106.74856351706694</v>
      </c>
    </row>
    <row r="256" spans="2:21" x14ac:dyDescent="0.35">
      <c r="B256">
        <v>523</v>
      </c>
      <c r="C256" s="17">
        <v>9</v>
      </c>
      <c r="D256" s="22" t="s">
        <v>261</v>
      </c>
      <c r="E256" s="90">
        <v>625.06927283115476</v>
      </c>
      <c r="F256" s="90">
        <f>INDEX('Revised 2020 Lockdown'!H$5:H$254,MATCH(B256,'Revised 2020 Lockdown'!B$5:B$254,0))</f>
        <v>625.06927283115476</v>
      </c>
      <c r="G256" s="90">
        <f t="shared" si="26"/>
        <v>0</v>
      </c>
      <c r="H256" s="5">
        <v>363457.85</v>
      </c>
      <c r="I256" s="5">
        <f>INDEX('Revised 2020 Lockdown'!E$5:E$254,MATCH(B256,'Revised 2020 Lockdown'!B$5:B$254,0))</f>
        <v>363457.89</v>
      </c>
      <c r="J256" s="5">
        <f t="shared" si="27"/>
        <v>4.0000000037252903E-2</v>
      </c>
      <c r="K256" s="5">
        <v>165.92</v>
      </c>
      <c r="L256" s="5">
        <f>INDEX('Revised 2020 Lockdown'!F$5:F$254,MATCH(B256,'Revised 2020 Lockdown'!B$5:B$254,0))</f>
        <v>165.92</v>
      </c>
      <c r="M256" s="5">
        <f t="shared" si="28"/>
        <v>0</v>
      </c>
      <c r="N256" s="5">
        <f t="shared" si="25"/>
        <v>363291.93</v>
      </c>
      <c r="O256" s="60">
        <f>INDEX('Revised 2020 Lockdown'!G$5:G$254,MATCH(B256,'Revised 2020 Lockdown'!B$5:B$254,0))</f>
        <v>363291.97000000003</v>
      </c>
      <c r="P256" s="5">
        <f t="shared" si="29"/>
        <v>4.0000000037252903E-2</v>
      </c>
      <c r="Q256" s="58">
        <f t="shared" si="30"/>
        <v>581.20273350588036</v>
      </c>
      <c r="R256" s="96">
        <f t="shared" si="31"/>
        <v>174885.95610077697</v>
      </c>
      <c r="T256" s="96">
        <v>175184.53104130222</v>
      </c>
      <c r="U256" s="5">
        <f t="shared" si="32"/>
        <v>-298.57494052525726</v>
      </c>
    </row>
    <row r="257" spans="2:21" x14ac:dyDescent="0.35">
      <c r="B257">
        <v>527</v>
      </c>
      <c r="C257" s="17">
        <v>9</v>
      </c>
      <c r="D257" s="22" t="s">
        <v>262</v>
      </c>
      <c r="E257" s="90">
        <v>154.99854785641858</v>
      </c>
      <c r="F257" s="90">
        <f>INDEX('Revised 2020 Lockdown'!H$5:H$254,MATCH(B257,'Revised 2020 Lockdown'!B$5:B$254,0))</f>
        <v>154.99854785641858</v>
      </c>
      <c r="G257" s="90">
        <f t="shared" si="26"/>
        <v>0</v>
      </c>
      <c r="H257" s="5">
        <v>135350.22</v>
      </c>
      <c r="I257" s="5">
        <f>INDEX('Revised 2020 Lockdown'!E$5:E$254,MATCH(B257,'Revised 2020 Lockdown'!B$5:B$254,0))</f>
        <v>135350.22</v>
      </c>
      <c r="J257" s="5">
        <f t="shared" si="27"/>
        <v>0</v>
      </c>
      <c r="K257" s="5">
        <v>0</v>
      </c>
      <c r="L257" s="5">
        <f>INDEX('Revised 2020 Lockdown'!F$5:F$254,MATCH(B257,'Revised 2020 Lockdown'!B$5:B$254,0))</f>
        <v>0</v>
      </c>
      <c r="M257" s="5">
        <f t="shared" si="28"/>
        <v>0</v>
      </c>
      <c r="N257" s="5">
        <f t="shared" si="25"/>
        <v>135350.22</v>
      </c>
      <c r="O257" s="60">
        <f>INDEX('Revised 2020 Lockdown'!G$5:G$254,MATCH(B257,'Revised 2020 Lockdown'!B$5:B$254,0))</f>
        <v>135350.22</v>
      </c>
      <c r="P257" s="5">
        <f t="shared" si="29"/>
        <v>0</v>
      </c>
      <c r="Q257" s="58">
        <f t="shared" si="30"/>
        <v>873.23540685929765</v>
      </c>
      <c r="R257" s="96">
        <f t="shared" si="31"/>
        <v>65156.553372623413</v>
      </c>
      <c r="T257" s="96">
        <v>65267.799416951224</v>
      </c>
      <c r="U257" s="5">
        <f t="shared" si="32"/>
        <v>-111.24604432781052</v>
      </c>
    </row>
    <row r="258" spans="2:21" x14ac:dyDescent="0.35">
      <c r="B258">
        <v>543</v>
      </c>
      <c r="C258" s="17">
        <v>9</v>
      </c>
      <c r="D258" s="22" t="s">
        <v>263</v>
      </c>
      <c r="E258" s="90">
        <v>79.411119663150544</v>
      </c>
      <c r="F258" s="90">
        <f>INDEX('Revised 2020 Lockdown'!H$5:H$254,MATCH(B258,'Revised 2020 Lockdown'!B$5:B$254,0))</f>
        <v>79.411119663150544</v>
      </c>
      <c r="G258" s="90">
        <f t="shared" si="26"/>
        <v>0</v>
      </c>
      <c r="H258" s="5">
        <v>86208</v>
      </c>
      <c r="I258" s="5">
        <f>INDEX('Revised 2020 Lockdown'!E$5:E$254,MATCH(B258,'Revised 2020 Lockdown'!B$5:B$254,0))</f>
        <v>86208</v>
      </c>
      <c r="J258" s="5">
        <f t="shared" si="27"/>
        <v>0</v>
      </c>
      <c r="K258" s="5">
        <v>0</v>
      </c>
      <c r="L258" s="5">
        <f>INDEX('Revised 2020 Lockdown'!F$5:F$254,MATCH(B258,'Revised 2020 Lockdown'!B$5:B$254,0))</f>
        <v>0</v>
      </c>
      <c r="M258" s="5">
        <f t="shared" si="28"/>
        <v>0</v>
      </c>
      <c r="N258" s="5">
        <f t="shared" si="25"/>
        <v>86208</v>
      </c>
      <c r="O258" s="60">
        <f>INDEX('Revised 2020 Lockdown'!G$5:G$254,MATCH(B258,'Revised 2020 Lockdown'!B$5:B$254,0))</f>
        <v>86208</v>
      </c>
      <c r="P258" s="5">
        <f t="shared" si="29"/>
        <v>0</v>
      </c>
      <c r="Q258" s="58">
        <f t="shared" si="30"/>
        <v>1085.5910402180546</v>
      </c>
      <c r="R258" s="96">
        <f t="shared" si="31"/>
        <v>41499.867182684444</v>
      </c>
      <c r="T258" s="96">
        <v>41570.722619708569</v>
      </c>
      <c r="U258" s="5">
        <f t="shared" si="32"/>
        <v>-70.855437024125422</v>
      </c>
    </row>
    <row r="259" spans="2:21" x14ac:dyDescent="0.35">
      <c r="B259">
        <v>547</v>
      </c>
      <c r="C259" s="17">
        <v>9</v>
      </c>
      <c r="D259" s="22" t="s">
        <v>264</v>
      </c>
      <c r="E259" s="90">
        <v>220.23593845734564</v>
      </c>
      <c r="F259" s="90">
        <f>INDEX('Revised 2020 Lockdown'!H$5:H$254,MATCH(B259,'Revised 2020 Lockdown'!B$5:B$254,0))</f>
        <v>220.23593845734564</v>
      </c>
      <c r="G259" s="90">
        <f t="shared" si="26"/>
        <v>0</v>
      </c>
      <c r="H259" s="5">
        <v>176613.82</v>
      </c>
      <c r="I259" s="5">
        <f>INDEX('Revised 2020 Lockdown'!E$5:E$254,MATCH(B259,'Revised 2020 Lockdown'!B$5:B$254,0))</f>
        <v>176613.82</v>
      </c>
      <c r="J259" s="5">
        <f t="shared" si="27"/>
        <v>0</v>
      </c>
      <c r="K259" s="5">
        <v>0</v>
      </c>
      <c r="L259" s="5">
        <f>INDEX('Revised 2020 Lockdown'!F$5:F$254,MATCH(B259,'Revised 2020 Lockdown'!B$5:B$254,0))</f>
        <v>0</v>
      </c>
      <c r="M259" s="5">
        <f t="shared" si="28"/>
        <v>0</v>
      </c>
      <c r="N259" s="5">
        <f t="shared" si="25"/>
        <v>176613.82</v>
      </c>
      <c r="O259" s="60">
        <f>INDEX('Revised 2020 Lockdown'!G$5:G$254,MATCH(B259,'Revised 2020 Lockdown'!B$5:B$254,0))</f>
        <v>176613.82</v>
      </c>
      <c r="P259" s="5">
        <f t="shared" si="29"/>
        <v>0</v>
      </c>
      <c r="Q259" s="58">
        <f t="shared" si="30"/>
        <v>801.93006299108549</v>
      </c>
      <c r="R259" s="96">
        <f t="shared" si="31"/>
        <v>85020.532579650811</v>
      </c>
      <c r="T259" s="96">
        <v>85165.693694635513</v>
      </c>
      <c r="U259" s="5">
        <f t="shared" si="32"/>
        <v>-145.16111498470127</v>
      </c>
    </row>
    <row r="260" spans="2:21" x14ac:dyDescent="0.35">
      <c r="B260">
        <v>552</v>
      </c>
      <c r="C260" s="17">
        <v>9</v>
      </c>
      <c r="D260" s="22" t="s">
        <v>265</v>
      </c>
      <c r="E260" s="90">
        <v>135.19999999999999</v>
      </c>
      <c r="F260" s="90">
        <f>INDEX('Revised 2020 Lockdown'!H$5:H$254,MATCH(B260,'Revised 2020 Lockdown'!B$5:B$254,0))</f>
        <v>135.19999999999999</v>
      </c>
      <c r="G260" s="90">
        <f t="shared" si="26"/>
        <v>0</v>
      </c>
      <c r="H260" s="5">
        <v>157444.06</v>
      </c>
      <c r="I260" s="5">
        <f>INDEX('Revised 2020 Lockdown'!E$5:E$254,MATCH(B260,'Revised 2020 Lockdown'!B$5:B$254,0))</f>
        <v>157444.06</v>
      </c>
      <c r="J260" s="5">
        <f t="shared" si="27"/>
        <v>0</v>
      </c>
      <c r="K260" s="5">
        <v>0</v>
      </c>
      <c r="L260" s="5">
        <f>INDEX('Revised 2020 Lockdown'!F$5:F$254,MATCH(B260,'Revised 2020 Lockdown'!B$5:B$254,0))</f>
        <v>0</v>
      </c>
      <c r="M260" s="5">
        <f t="shared" si="28"/>
        <v>0</v>
      </c>
      <c r="N260" s="5">
        <f t="shared" si="25"/>
        <v>157444.06</v>
      </c>
      <c r="O260" s="60">
        <f>INDEX('Revised 2020 Lockdown'!G$5:G$254,MATCH(B260,'Revised 2020 Lockdown'!B$5:B$254,0))</f>
        <v>157444.06</v>
      </c>
      <c r="P260" s="5">
        <f t="shared" si="29"/>
        <v>0</v>
      </c>
      <c r="Q260" s="58">
        <f t="shared" si="30"/>
        <v>1164.5270710059172</v>
      </c>
      <c r="R260" s="96">
        <f t="shared" si="31"/>
        <v>75792.357770770701</v>
      </c>
      <c r="T260" s="96">
        <v>75921.763019450082</v>
      </c>
      <c r="U260" s="5">
        <f t="shared" si="32"/>
        <v>-129.40524867938075</v>
      </c>
    </row>
    <row r="261" spans="2:21" x14ac:dyDescent="0.35">
      <c r="B261">
        <v>567</v>
      </c>
      <c r="C261" s="17">
        <v>9</v>
      </c>
      <c r="D261" s="22" t="s">
        <v>266</v>
      </c>
      <c r="E261" s="90">
        <v>384.31575355473518</v>
      </c>
      <c r="F261" s="90">
        <f>INDEX('Revised 2020 Lockdown'!H$5:H$254,MATCH(B261,'Revised 2020 Lockdown'!B$5:B$254,0))</f>
        <v>384.31575355473518</v>
      </c>
      <c r="G261" s="90">
        <f t="shared" si="26"/>
        <v>0</v>
      </c>
      <c r="H261" s="5">
        <v>218617.78</v>
      </c>
      <c r="I261" s="5">
        <f>INDEX('Revised 2020 Lockdown'!E$5:E$254,MATCH(B261,'Revised 2020 Lockdown'!B$5:B$254,0))</f>
        <v>240841.36</v>
      </c>
      <c r="J261" s="5">
        <f t="shared" si="27"/>
        <v>22223.579999999987</v>
      </c>
      <c r="K261" s="5">
        <v>0</v>
      </c>
      <c r="L261" s="5">
        <f>INDEX('Revised 2020 Lockdown'!F$5:F$254,MATCH(B261,'Revised 2020 Lockdown'!B$5:B$254,0))</f>
        <v>0</v>
      </c>
      <c r="M261" s="5">
        <f t="shared" si="28"/>
        <v>0</v>
      </c>
      <c r="N261" s="5">
        <f t="shared" si="25"/>
        <v>218617.78</v>
      </c>
      <c r="O261" s="60">
        <f>INDEX('Revised 2020 Lockdown'!G$5:G$254,MATCH(B261,'Revised 2020 Lockdown'!B$5:B$254,0))</f>
        <v>240841.36</v>
      </c>
      <c r="P261" s="5">
        <f t="shared" si="29"/>
        <v>22223.579999999987</v>
      </c>
      <c r="Q261" s="58">
        <f t="shared" si="30"/>
        <v>626.67574194482972</v>
      </c>
      <c r="R261" s="96">
        <f t="shared" si="31"/>
        <v>115939.17562287826</v>
      </c>
      <c r="T261" s="96">
        <v>105420.60008486999</v>
      </c>
      <c r="U261" s="5">
        <f t="shared" si="32"/>
        <v>10518.57553800827</v>
      </c>
    </row>
    <row r="262" spans="2:21" x14ac:dyDescent="0.35">
      <c r="B262">
        <v>629</v>
      </c>
      <c r="C262" s="17">
        <v>9</v>
      </c>
      <c r="D262" s="22" t="s">
        <v>267</v>
      </c>
      <c r="E262" s="90">
        <v>194.76</v>
      </c>
      <c r="F262" s="90">
        <f>INDEX('Revised 2020 Lockdown'!H$5:H$254,MATCH(B262,'Revised 2020 Lockdown'!B$5:B$254,0))</f>
        <v>194.76</v>
      </c>
      <c r="G262" s="90">
        <f t="shared" si="26"/>
        <v>0</v>
      </c>
      <c r="H262" s="5">
        <v>198603.87</v>
      </c>
      <c r="I262" s="5">
        <f>INDEX('Revised 2020 Lockdown'!E$5:E$254,MATCH(B262,'Revised 2020 Lockdown'!B$5:B$254,0))</f>
        <v>198603.87</v>
      </c>
      <c r="J262" s="5">
        <f t="shared" si="27"/>
        <v>0</v>
      </c>
      <c r="K262" s="5">
        <v>20431</v>
      </c>
      <c r="L262" s="5">
        <f>INDEX('Revised 2020 Lockdown'!F$5:F$254,MATCH(B262,'Revised 2020 Lockdown'!B$5:B$254,0))</f>
        <v>20431</v>
      </c>
      <c r="M262" s="5">
        <f t="shared" si="28"/>
        <v>0</v>
      </c>
      <c r="N262" s="5">
        <f t="shared" si="25"/>
        <v>178172.87</v>
      </c>
      <c r="O262" s="60">
        <f>INDEX('Revised 2020 Lockdown'!G$5:G$254,MATCH(B262,'Revised 2020 Lockdown'!B$5:B$254,0))</f>
        <v>178172.87</v>
      </c>
      <c r="P262" s="5">
        <f t="shared" si="29"/>
        <v>0</v>
      </c>
      <c r="Q262" s="58">
        <f t="shared" si="30"/>
        <v>914.83297391661529</v>
      </c>
      <c r="R262" s="96">
        <f t="shared" si="31"/>
        <v>85771.047241064647</v>
      </c>
      <c r="T262" s="96">
        <v>85917.489758808864</v>
      </c>
      <c r="U262" s="5">
        <f t="shared" si="32"/>
        <v>-146.44251774421718</v>
      </c>
    </row>
    <row r="263" spans="2:21" x14ac:dyDescent="0.35">
      <c r="B263">
        <v>630</v>
      </c>
      <c r="C263" s="17">
        <v>9</v>
      </c>
      <c r="D263" s="22" t="s">
        <v>268</v>
      </c>
      <c r="E263" s="90">
        <v>127.48534968903685</v>
      </c>
      <c r="F263" s="90">
        <f>INDEX('Revised 2020 Lockdown'!H$5:H$254,MATCH(B263,'Revised 2020 Lockdown'!B$5:B$254,0))</f>
        <v>127.48534968903685</v>
      </c>
      <c r="G263" s="90">
        <f t="shared" si="26"/>
        <v>0</v>
      </c>
      <c r="H263" s="5">
        <v>287696.51</v>
      </c>
      <c r="I263" s="5">
        <f>INDEX('Revised 2020 Lockdown'!E$5:E$254,MATCH(B263,'Revised 2020 Lockdown'!B$5:B$254,0))</f>
        <v>287696.51</v>
      </c>
      <c r="J263" s="5">
        <f t="shared" si="27"/>
        <v>0</v>
      </c>
      <c r="K263" s="5">
        <v>4655.1900000000005</v>
      </c>
      <c r="L263" s="5">
        <f>INDEX('Revised 2020 Lockdown'!F$5:F$254,MATCH(B263,'Revised 2020 Lockdown'!B$5:B$254,0))</f>
        <v>4655.1900000000005</v>
      </c>
      <c r="M263" s="5">
        <f t="shared" si="28"/>
        <v>0</v>
      </c>
      <c r="N263" s="5">
        <f t="shared" si="25"/>
        <v>283041.32</v>
      </c>
      <c r="O263" s="60">
        <f>INDEX('Revised 2020 Lockdown'!G$5:G$254,MATCH(B263,'Revised 2020 Lockdown'!B$5:B$254,0))</f>
        <v>283041.32</v>
      </c>
      <c r="P263" s="5">
        <f t="shared" si="29"/>
        <v>0</v>
      </c>
      <c r="Q263" s="58">
        <f t="shared" si="30"/>
        <v>2220.1870308266507</v>
      </c>
      <c r="R263" s="96">
        <f t="shared" si="31"/>
        <v>136253.91132159063</v>
      </c>
      <c r="T263" s="96">
        <v>136486.54653438396</v>
      </c>
      <c r="U263" s="5">
        <f t="shared" si="32"/>
        <v>-232.63521279333509</v>
      </c>
    </row>
    <row r="264" spans="2:21" x14ac:dyDescent="0.35">
      <c r="B264">
        <v>771</v>
      </c>
      <c r="C264" s="17">
        <v>9</v>
      </c>
      <c r="D264" s="22" t="s">
        <v>270</v>
      </c>
      <c r="E264" s="90">
        <v>150.47963975564838</v>
      </c>
      <c r="F264" s="90">
        <f>INDEX('Revised 2020 Lockdown'!H$5:H$254,MATCH(B264,'Revised 2020 Lockdown'!B$5:B$254,0))</f>
        <v>150.47963975564838</v>
      </c>
      <c r="G264" s="90">
        <f t="shared" si="26"/>
        <v>0</v>
      </c>
      <c r="H264" s="5">
        <v>92541.6</v>
      </c>
      <c r="I264" s="5">
        <f>INDEX('Revised 2020 Lockdown'!E$5:E$254,MATCH(B264,'Revised 2020 Lockdown'!B$5:B$254,0))</f>
        <v>92541.6</v>
      </c>
      <c r="J264" s="5">
        <f t="shared" si="27"/>
        <v>0</v>
      </c>
      <c r="K264" s="5">
        <v>0</v>
      </c>
      <c r="L264" s="5">
        <f>INDEX('Revised 2020 Lockdown'!F$5:F$254,MATCH(B264,'Revised 2020 Lockdown'!B$5:B$254,0))</f>
        <v>0</v>
      </c>
      <c r="M264" s="5">
        <f t="shared" si="28"/>
        <v>0</v>
      </c>
      <c r="N264" s="5">
        <f t="shared" si="25"/>
        <v>92541.6</v>
      </c>
      <c r="O264" s="60">
        <f>INDEX('Revised 2020 Lockdown'!G$5:G$254,MATCH(B264,'Revised 2020 Lockdown'!B$5:B$254,0))</f>
        <v>92541.6</v>
      </c>
      <c r="P264" s="5">
        <f t="shared" si="29"/>
        <v>0</v>
      </c>
      <c r="Q264" s="58">
        <f t="shared" si="30"/>
        <v>614.97754879178854</v>
      </c>
      <c r="R264" s="96">
        <f t="shared" si="31"/>
        <v>44548.813438116078</v>
      </c>
      <c r="T264" s="96">
        <v>44624.874540460551</v>
      </c>
      <c r="U264" s="5">
        <f t="shared" si="32"/>
        <v>-76.061102344472602</v>
      </c>
    </row>
    <row r="265" spans="2:21" x14ac:dyDescent="0.35">
      <c r="B265">
        <v>830</v>
      </c>
      <c r="C265" s="17">
        <v>9</v>
      </c>
      <c r="D265" s="22" t="s">
        <v>271</v>
      </c>
      <c r="E265" s="90">
        <v>24.409999999999997</v>
      </c>
      <c r="F265" s="90">
        <f>INDEX('Revised 2020 Lockdown'!H$5:H$254,MATCH(B265,'Revised 2020 Lockdown'!B$5:B$254,0))</f>
        <v>24.409999999999997</v>
      </c>
      <c r="G265" s="90">
        <f t="shared" si="26"/>
        <v>0</v>
      </c>
      <c r="H265" s="5">
        <v>29406.38</v>
      </c>
      <c r="I265" s="5">
        <f>INDEX('Revised 2020 Lockdown'!E$5:E$254,MATCH(B265,'Revised 2020 Lockdown'!B$5:B$254,0))</f>
        <v>29406.38</v>
      </c>
      <c r="J265" s="5">
        <f t="shared" si="27"/>
        <v>0</v>
      </c>
      <c r="K265" s="5">
        <v>0</v>
      </c>
      <c r="L265" s="5">
        <f>INDEX('Revised 2020 Lockdown'!F$5:F$254,MATCH(B265,'Revised 2020 Lockdown'!B$5:B$254,0))</f>
        <v>0</v>
      </c>
      <c r="M265" s="5">
        <f t="shared" si="28"/>
        <v>0</v>
      </c>
      <c r="N265" s="5">
        <f t="shared" si="25"/>
        <v>29406.38</v>
      </c>
      <c r="O265" s="60">
        <f>INDEX('Revised 2020 Lockdown'!G$5:G$254,MATCH(B265,'Revised 2020 Lockdown'!B$5:B$254,0))</f>
        <v>29406.38</v>
      </c>
      <c r="P265" s="5">
        <f t="shared" si="29"/>
        <v>0</v>
      </c>
      <c r="Q265" s="58">
        <f t="shared" si="30"/>
        <v>1204.6857845145435</v>
      </c>
      <c r="R265" s="96">
        <f t="shared" si="31"/>
        <v>14156.004829291343</v>
      </c>
      <c r="T265" s="96">
        <v>14180.174302033985</v>
      </c>
      <c r="U265" s="5">
        <f t="shared" si="32"/>
        <v>-24.169472742642029</v>
      </c>
    </row>
    <row r="266" spans="2:21" x14ac:dyDescent="0.35">
      <c r="B266">
        <v>936</v>
      </c>
      <c r="C266" s="17">
        <v>9</v>
      </c>
      <c r="D266" s="22" t="s">
        <v>272</v>
      </c>
      <c r="E266" s="90">
        <v>41.000400806603665</v>
      </c>
      <c r="F266" s="90">
        <f>INDEX('Revised 2020 Lockdown'!H$5:H$254,MATCH(B266,'Revised 2020 Lockdown'!B$5:B$254,0))</f>
        <v>41.000400806603665</v>
      </c>
      <c r="G266" s="90">
        <f t="shared" si="26"/>
        <v>0</v>
      </c>
      <c r="H266" s="5">
        <v>76676.479999999996</v>
      </c>
      <c r="I266" s="5">
        <f>INDEX('Revised 2020 Lockdown'!E$5:E$254,MATCH(B266,'Revised 2020 Lockdown'!B$5:B$254,0))</f>
        <v>76676.479999999996</v>
      </c>
      <c r="J266" s="5">
        <f t="shared" si="27"/>
        <v>0</v>
      </c>
      <c r="K266" s="5">
        <v>0</v>
      </c>
      <c r="L266" s="5">
        <f>INDEX('Revised 2020 Lockdown'!F$5:F$254,MATCH(B266,'Revised 2020 Lockdown'!B$5:B$254,0))</f>
        <v>0</v>
      </c>
      <c r="M266" s="5">
        <f t="shared" si="28"/>
        <v>0</v>
      </c>
      <c r="N266" s="5">
        <f t="shared" si="25"/>
        <v>76676.479999999996</v>
      </c>
      <c r="O266" s="60">
        <f>INDEX('Revised 2020 Lockdown'!G$5:G$254,MATCH(B266,'Revised 2020 Lockdown'!B$5:B$254,0))</f>
        <v>76676.479999999996</v>
      </c>
      <c r="P266" s="5">
        <f t="shared" si="29"/>
        <v>0</v>
      </c>
      <c r="Q266" s="58">
        <f t="shared" si="30"/>
        <v>1870.1397667227247</v>
      </c>
      <c r="R266" s="96">
        <f t="shared" si="31"/>
        <v>36911.466871238859</v>
      </c>
      <c r="T266" s="96">
        <v>36974.488232363954</v>
      </c>
      <c r="U266" s="5">
        <f t="shared" si="32"/>
        <v>-63.0213611250947</v>
      </c>
    </row>
    <row r="267" spans="2:21" x14ac:dyDescent="0.35">
      <c r="B267">
        <v>952</v>
      </c>
      <c r="C267" s="17">
        <v>9</v>
      </c>
      <c r="D267" s="22" t="s">
        <v>273</v>
      </c>
      <c r="E267" s="90">
        <v>58.010000000000005</v>
      </c>
      <c r="F267" s="90">
        <f>INDEX('Revised 2020 Lockdown'!H$5:H$254,MATCH(B267,'Revised 2020 Lockdown'!B$5:B$254,0))</f>
        <v>58.010000000000005</v>
      </c>
      <c r="G267" s="90">
        <f t="shared" si="26"/>
        <v>0</v>
      </c>
      <c r="H267" s="5">
        <v>92682.41</v>
      </c>
      <c r="I267" s="5">
        <f>INDEX('Revised 2020 Lockdown'!E$5:E$254,MATCH(B267,'Revised 2020 Lockdown'!B$5:B$254,0))</f>
        <v>92682.41</v>
      </c>
      <c r="J267" s="5">
        <f t="shared" si="27"/>
        <v>0</v>
      </c>
      <c r="K267" s="5">
        <v>3120.3</v>
      </c>
      <c r="L267" s="5">
        <f>INDEX('Revised 2020 Lockdown'!F$5:F$254,MATCH(B267,'Revised 2020 Lockdown'!B$5:B$254,0))</f>
        <v>3120.3</v>
      </c>
      <c r="M267" s="5">
        <f t="shared" si="28"/>
        <v>0</v>
      </c>
      <c r="N267" s="5">
        <f t="shared" si="25"/>
        <v>89562.11</v>
      </c>
      <c r="O267" s="60">
        <f>INDEX('Revised 2020 Lockdown'!G$5:G$254,MATCH(B267,'Revised 2020 Lockdown'!B$5:B$254,0))</f>
        <v>89562.11</v>
      </c>
      <c r="P267" s="5">
        <f t="shared" si="29"/>
        <v>0</v>
      </c>
      <c r="Q267" s="58">
        <f t="shared" si="30"/>
        <v>1543.9081192897775</v>
      </c>
      <c r="R267" s="96">
        <f t="shared" si="31"/>
        <v>43114.50990164456</v>
      </c>
      <c r="T267" s="96">
        <v>43188.122123768408</v>
      </c>
      <c r="U267" s="5">
        <f t="shared" si="32"/>
        <v>-73.612222123847459</v>
      </c>
    </row>
    <row r="268" spans="2:21" x14ac:dyDescent="0.35">
      <c r="B268">
        <v>982</v>
      </c>
      <c r="C268" s="17">
        <v>9</v>
      </c>
      <c r="D268" s="22" t="s">
        <v>274</v>
      </c>
      <c r="E268" s="90">
        <v>67.758123009401658</v>
      </c>
      <c r="F268" s="90">
        <f>INDEX('Revised 2020 Lockdown'!H$5:H$254,MATCH(B268,'Revised 2020 Lockdown'!B$5:B$254,0))</f>
        <v>67.758123009401658</v>
      </c>
      <c r="G268" s="90">
        <f t="shared" si="26"/>
        <v>0</v>
      </c>
      <c r="H268" s="5">
        <v>117451.8</v>
      </c>
      <c r="I268" s="5">
        <f>INDEX('Revised 2020 Lockdown'!E$5:E$254,MATCH(B268,'Revised 2020 Lockdown'!B$5:B$254,0))</f>
        <v>117451.8</v>
      </c>
      <c r="J268" s="5">
        <f t="shared" si="27"/>
        <v>0</v>
      </c>
      <c r="K268" s="5">
        <v>0</v>
      </c>
      <c r="L268" s="5">
        <f>INDEX('Revised 2020 Lockdown'!F$5:F$254,MATCH(B268,'Revised 2020 Lockdown'!B$5:B$254,0))</f>
        <v>0</v>
      </c>
      <c r="M268" s="5">
        <f t="shared" si="28"/>
        <v>0</v>
      </c>
      <c r="N268" s="5">
        <f t="shared" si="25"/>
        <v>117451.8</v>
      </c>
      <c r="O268" s="60">
        <f>INDEX('Revised 2020 Lockdown'!G$5:G$254,MATCH(B268,'Revised 2020 Lockdown'!B$5:B$254,0))</f>
        <v>117451.8</v>
      </c>
      <c r="P268" s="5">
        <f t="shared" si="29"/>
        <v>0</v>
      </c>
      <c r="Q268" s="58">
        <f t="shared" si="30"/>
        <v>1733.3980751459599</v>
      </c>
      <c r="R268" s="96">
        <f t="shared" si="31"/>
        <v>56540.391847244071</v>
      </c>
      <c r="T268" s="96">
        <v>56636.926955566618</v>
      </c>
      <c r="U268" s="5">
        <f t="shared" si="32"/>
        <v>-96.535108322546876</v>
      </c>
    </row>
    <row r="269" spans="2:21" x14ac:dyDescent="0.35">
      <c r="B269">
        <v>987</v>
      </c>
      <c r="C269" s="17">
        <v>9</v>
      </c>
      <c r="D269" s="22" t="s">
        <v>275</v>
      </c>
      <c r="E269" s="90">
        <v>330.67110027386104</v>
      </c>
      <c r="F269" s="90">
        <f>INDEX('Revised 2020 Lockdown'!H$5:H$254,MATCH(B269,'Revised 2020 Lockdown'!B$5:B$254,0))</f>
        <v>330.67110027386104</v>
      </c>
      <c r="G269" s="90">
        <f t="shared" si="26"/>
        <v>0</v>
      </c>
      <c r="H269" s="5">
        <v>102469.64</v>
      </c>
      <c r="I269" s="5">
        <f>INDEX('Revised 2020 Lockdown'!E$5:E$254,MATCH(B269,'Revised 2020 Lockdown'!B$5:B$254,0))</f>
        <v>102469.64</v>
      </c>
      <c r="J269" s="5">
        <f t="shared" si="27"/>
        <v>0</v>
      </c>
      <c r="K269" s="5">
        <v>0</v>
      </c>
      <c r="L269" s="5">
        <f>INDEX('Revised 2020 Lockdown'!F$5:F$254,MATCH(B269,'Revised 2020 Lockdown'!B$5:B$254,0))</f>
        <v>0</v>
      </c>
      <c r="M269" s="5">
        <f t="shared" si="28"/>
        <v>0</v>
      </c>
      <c r="N269" s="5">
        <f t="shared" si="25"/>
        <v>102469.64</v>
      </c>
      <c r="O269" s="60">
        <f>INDEX('Revised 2020 Lockdown'!G$5:G$254,MATCH(B269,'Revised 2020 Lockdown'!B$5:B$254,0))</f>
        <v>102469.64</v>
      </c>
      <c r="P269" s="5">
        <f t="shared" si="29"/>
        <v>0</v>
      </c>
      <c r="Q269" s="58">
        <f t="shared" si="30"/>
        <v>309.88386924389488</v>
      </c>
      <c r="R269" s="96">
        <f t="shared" si="31"/>
        <v>49328.095423365456</v>
      </c>
      <c r="T269" s="96">
        <v>49412.316506372888</v>
      </c>
      <c r="U269" s="5">
        <f t="shared" si="32"/>
        <v>-84.221083007432753</v>
      </c>
    </row>
  </sheetData>
  <mergeCells count="1">
    <mergeCell ref="B2:H2"/>
  </mergeCells>
  <conditionalFormatting sqref="B64 B95 B178 B197 B227">
    <cfRule type="expression" dxfId="42" priority="26">
      <formula>$C64&lt;&gt;$C62</formula>
    </cfRule>
  </conditionalFormatting>
  <conditionalFormatting sqref="B96">
    <cfRule type="expression" dxfId="41" priority="28">
      <formula>$C96&lt;&gt;$C93</formula>
    </cfRule>
  </conditionalFormatting>
  <conditionalFormatting sqref="B164 B185">
    <cfRule type="expression" dxfId="40" priority="27">
      <formula>$C164&lt;&gt;#REF!</formula>
    </cfRule>
  </conditionalFormatting>
  <conditionalFormatting sqref="B20:F20 H20:I269 E21:F269 B21:B63 B65:B94 B97:B163 B165:B177 B179:B184 B186:B196 B198:B226 B228:B250">
    <cfRule type="expression" dxfId="39" priority="25">
      <formula>$C20&lt;&gt;$C19</formula>
    </cfRule>
  </conditionalFormatting>
  <conditionalFormatting sqref="C21:D269">
    <cfRule type="expression" dxfId="38" priority="18">
      <formula>$C21&lt;&gt;$C20</formula>
    </cfRule>
  </conditionalFormatting>
  <conditionalFormatting sqref="E20:F269 H20:I269">
    <cfRule type="expression" dxfId="37" priority="23">
      <formula>E20&lt;=0=TRUE</formula>
    </cfRule>
  </conditionalFormatting>
  <conditionalFormatting sqref="E18:G18">
    <cfRule type="expression" dxfId="36" priority="19">
      <formula>E18&lt;=0=TRUE</formula>
    </cfRule>
    <cfRule type="expression" dxfId="35" priority="20">
      <formula>$C18&lt;&gt;$C17</formula>
    </cfRule>
    <cfRule type="expression" dxfId="34" priority="21">
      <formula>E18&lt;=0=TRUE</formula>
    </cfRule>
    <cfRule type="expression" dxfId="33" priority="22">
      <formula>$C18&lt;&gt;$C17</formula>
    </cfRule>
  </conditionalFormatting>
  <conditionalFormatting sqref="G20:G269">
    <cfRule type="expression" dxfId="32" priority="6">
      <formula>$C20&lt;&gt;$C19</formula>
    </cfRule>
  </conditionalFormatting>
  <conditionalFormatting sqref="J20:R269">
    <cfRule type="expression" dxfId="31" priority="1">
      <formula>$C20&lt;&gt;$C19</formula>
    </cfRule>
  </conditionalFormatting>
  <conditionalFormatting sqref="T20:U269">
    <cfRule type="expression" dxfId="30" priority="7">
      <formula>$C20&lt;&gt;$C19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1FBCF-0CD9-4B75-BA3D-69D7CD6B167C}">
  <sheetPr codeName="Sheet3">
    <tabColor theme="8" tint="0.59999389629810485"/>
  </sheetPr>
  <dimension ref="A1:I257"/>
  <sheetViews>
    <sheetView workbookViewId="0"/>
  </sheetViews>
  <sheetFormatPr defaultColWidth="8.81640625" defaultRowHeight="14.5" x14ac:dyDescent="0.35"/>
  <cols>
    <col min="1" max="1" width="4.81640625" style="18" customWidth="1"/>
    <col min="2" max="2" width="8.54296875" style="18" customWidth="1"/>
    <col min="3" max="3" width="8.81640625" style="18" customWidth="1"/>
    <col min="4" max="4" width="53" style="18" customWidth="1"/>
    <col min="5" max="8" width="13.81640625" style="18" customWidth="1"/>
    <col min="9" max="9" width="12.81640625" style="18" customWidth="1"/>
    <col min="10" max="16384" width="8.81640625" style="18"/>
  </cols>
  <sheetData>
    <row r="1" spans="1:9" x14ac:dyDescent="0.35">
      <c r="E1" s="18" t="s">
        <v>299</v>
      </c>
      <c r="F1" s="97">
        <v>1000</v>
      </c>
      <c r="H1" s="18" t="s">
        <v>300</v>
      </c>
      <c r="I1" s="98">
        <f t="array" ref="I1">AVERAGE(IF($I$5:$I$300&lt;&gt;0,IF($I$5:$I$300&lt;=F1,$I$5:$I$300)))</f>
        <v>587.95468029343272</v>
      </c>
    </row>
    <row r="2" spans="1:9" x14ac:dyDescent="0.35">
      <c r="B2" s="19" t="s">
        <v>301</v>
      </c>
      <c r="E2" s="20"/>
      <c r="H2" s="18" t="s">
        <v>302</v>
      </c>
      <c r="I2" s="98">
        <f t="array" ref="I2">STDEV(IF($I$5:$I$300&lt;&gt;0,IF($I$5:$I$300&lt;=F1,$I$5:$I$300)))</f>
        <v>203.26004279101437</v>
      </c>
    </row>
    <row r="3" spans="1:9" ht="15" thickBot="1" x14ac:dyDescent="0.4">
      <c r="E3" s="21">
        <f>SUM(E5:E299)</f>
        <v>403606519.57999998</v>
      </c>
      <c r="F3" s="21">
        <f>SUM(F5:F299)</f>
        <v>53169190.779999971</v>
      </c>
      <c r="G3" s="21">
        <f>SUM(G5:G299)</f>
        <v>350437328.80000037</v>
      </c>
      <c r="H3" s="91">
        <f>SUM(H5:H299)</f>
        <v>756998.89222415234</v>
      </c>
      <c r="I3" s="97">
        <f>G3/H3</f>
        <v>462.92977757255898</v>
      </c>
    </row>
    <row r="4" spans="1:9" ht="44" thickBot="1" x14ac:dyDescent="0.4">
      <c r="B4" s="124" t="s">
        <v>6</v>
      </c>
      <c r="C4" s="8" t="s">
        <v>7</v>
      </c>
      <c r="D4" s="8" t="s">
        <v>8</v>
      </c>
      <c r="E4" s="8" t="s">
        <v>303</v>
      </c>
      <c r="F4" s="8" t="s">
        <v>304</v>
      </c>
      <c r="G4" s="8" t="s">
        <v>305</v>
      </c>
      <c r="H4" s="99" t="s">
        <v>306</v>
      </c>
      <c r="I4" s="8" t="s">
        <v>307</v>
      </c>
    </row>
    <row r="5" spans="1:9" x14ac:dyDescent="0.35">
      <c r="A5" s="23">
        <v>1</v>
      </c>
      <c r="B5" s="100">
        <v>1</v>
      </c>
      <c r="C5" s="17">
        <v>1</v>
      </c>
      <c r="D5" s="22" t="s">
        <v>30</v>
      </c>
      <c r="E5" s="101">
        <v>10663710.359999999</v>
      </c>
      <c r="F5" s="102">
        <v>435756.04</v>
      </c>
      <c r="G5" s="102">
        <v>10227954.32</v>
      </c>
      <c r="H5" s="103">
        <v>36876.870000000003</v>
      </c>
      <c r="I5" s="104">
        <f t="shared" ref="I5:I68" si="0">IFERROR(G5/H5,0)</f>
        <v>277.35418759780856</v>
      </c>
    </row>
    <row r="6" spans="1:9" x14ac:dyDescent="0.35">
      <c r="A6" s="23">
        <v>1</v>
      </c>
      <c r="B6" s="100">
        <v>6</v>
      </c>
      <c r="C6" s="17">
        <v>2</v>
      </c>
      <c r="D6" s="22" t="s">
        <v>36</v>
      </c>
      <c r="E6" s="101">
        <v>19519817.030000001</v>
      </c>
      <c r="F6" s="102">
        <v>3436612.88</v>
      </c>
      <c r="G6" s="102">
        <v>16083204.150000002</v>
      </c>
      <c r="H6" s="103">
        <v>41369.72</v>
      </c>
      <c r="I6" s="104">
        <f t="shared" si="0"/>
        <v>388.76753698115436</v>
      </c>
    </row>
    <row r="7" spans="1:9" x14ac:dyDescent="0.35">
      <c r="A7" s="23">
        <v>1</v>
      </c>
      <c r="B7" s="100">
        <v>8</v>
      </c>
      <c r="C7" s="17">
        <v>5</v>
      </c>
      <c r="D7" s="22" t="s">
        <v>64</v>
      </c>
      <c r="E7" s="101">
        <v>990849.07</v>
      </c>
      <c r="F7" s="102">
        <v>161882.22</v>
      </c>
      <c r="G7" s="102">
        <v>828966.85</v>
      </c>
      <c r="H7" s="103">
        <v>1849.95</v>
      </c>
      <c r="I7" s="104">
        <f t="shared" si="0"/>
        <v>448.10230006216381</v>
      </c>
    </row>
    <row r="8" spans="1:9" x14ac:dyDescent="0.35">
      <c r="A8" s="23">
        <v>1</v>
      </c>
      <c r="B8" s="100">
        <v>12</v>
      </c>
      <c r="C8" s="17">
        <v>4</v>
      </c>
      <c r="D8" s="22" t="s">
        <v>49</v>
      </c>
      <c r="E8" s="101">
        <v>3304763.38</v>
      </c>
      <c r="F8" s="102">
        <v>511071.68999999994</v>
      </c>
      <c r="G8" s="102">
        <v>2793691.69</v>
      </c>
      <c r="H8" s="103">
        <v>5177.2300000000005</v>
      </c>
      <c r="I8" s="104">
        <f t="shared" si="0"/>
        <v>539.61127668656786</v>
      </c>
    </row>
    <row r="9" spans="1:9" x14ac:dyDescent="0.35">
      <c r="A9" s="23">
        <v>1</v>
      </c>
      <c r="B9" s="100">
        <v>14</v>
      </c>
      <c r="C9" s="17">
        <v>3</v>
      </c>
      <c r="D9" s="22" t="s">
        <v>42</v>
      </c>
      <c r="E9" s="101">
        <v>2668581.5</v>
      </c>
      <c r="F9" s="102">
        <v>102438.22</v>
      </c>
      <c r="G9" s="102">
        <v>2566143.2799999998</v>
      </c>
      <c r="H9" s="103">
        <v>12206.42</v>
      </c>
      <c r="I9" s="104">
        <f t="shared" si="0"/>
        <v>210.22898441967422</v>
      </c>
    </row>
    <row r="10" spans="1:9" x14ac:dyDescent="0.35">
      <c r="A10" s="23">
        <v>1</v>
      </c>
      <c r="B10" s="100">
        <v>18</v>
      </c>
      <c r="C10" s="17">
        <v>2</v>
      </c>
      <c r="D10" s="22" t="s">
        <v>37</v>
      </c>
      <c r="E10" s="101">
        <v>9886547.7300000004</v>
      </c>
      <c r="F10" s="102">
        <v>2290745.2799999998</v>
      </c>
      <c r="G10" s="102">
        <v>7595802.4500000011</v>
      </c>
      <c r="H10" s="103">
        <v>18591.03</v>
      </c>
      <c r="I10" s="104">
        <f t="shared" si="0"/>
        <v>408.57351367837077</v>
      </c>
    </row>
    <row r="11" spans="1:9" x14ac:dyDescent="0.35">
      <c r="A11" s="23">
        <v>2</v>
      </c>
      <c r="B11" s="100">
        <v>20</v>
      </c>
      <c r="C11" s="17">
        <v>1</v>
      </c>
      <c r="D11" s="22" t="s">
        <v>31</v>
      </c>
      <c r="E11" s="101">
        <v>69388824.069999993</v>
      </c>
      <c r="F11" s="102">
        <v>8922940.9799999986</v>
      </c>
      <c r="G11" s="102">
        <v>60465883.089999996</v>
      </c>
      <c r="H11" s="103">
        <v>103854.72000000002</v>
      </c>
      <c r="I11" s="104">
        <f t="shared" si="0"/>
        <v>582.21603303152699</v>
      </c>
    </row>
    <row r="12" spans="1:9" x14ac:dyDescent="0.35">
      <c r="A12" s="23">
        <v>2</v>
      </c>
      <c r="B12" s="100">
        <v>21</v>
      </c>
      <c r="C12" s="17">
        <v>4</v>
      </c>
      <c r="D12" s="22" t="s">
        <v>50</v>
      </c>
      <c r="E12" s="101">
        <v>3828643.24</v>
      </c>
      <c r="F12" s="102">
        <v>353045.89</v>
      </c>
      <c r="G12" s="102">
        <v>3475597.35</v>
      </c>
      <c r="H12" s="103">
        <v>5095.16</v>
      </c>
      <c r="I12" s="104">
        <f t="shared" si="0"/>
        <v>682.13703789478643</v>
      </c>
    </row>
    <row r="13" spans="1:9" x14ac:dyDescent="0.35">
      <c r="A13" s="23">
        <v>2</v>
      </c>
      <c r="B13" s="100">
        <v>34</v>
      </c>
      <c r="C13" s="17">
        <v>4</v>
      </c>
      <c r="D13" s="22" t="s">
        <v>51</v>
      </c>
      <c r="E13" s="101">
        <v>2068222.35</v>
      </c>
      <c r="F13" s="102">
        <v>351893.51</v>
      </c>
      <c r="G13" s="102">
        <v>1716328.84</v>
      </c>
      <c r="H13" s="103">
        <v>4254.33</v>
      </c>
      <c r="I13" s="104">
        <f t="shared" si="0"/>
        <v>403.43105494872287</v>
      </c>
    </row>
    <row r="14" spans="1:9" x14ac:dyDescent="0.35">
      <c r="A14" s="23">
        <v>2</v>
      </c>
      <c r="B14" s="100">
        <v>36</v>
      </c>
      <c r="C14" s="17">
        <v>3</v>
      </c>
      <c r="D14" s="22" t="s">
        <v>43</v>
      </c>
      <c r="E14" s="101">
        <v>7032628.79</v>
      </c>
      <c r="F14" s="102">
        <v>586758.02</v>
      </c>
      <c r="G14" s="102">
        <v>6445870.7699999996</v>
      </c>
      <c r="H14" s="103">
        <v>4378.0899999999992</v>
      </c>
      <c r="I14" s="104">
        <f t="shared" si="0"/>
        <v>1472.3020243987676</v>
      </c>
    </row>
    <row r="15" spans="1:9" x14ac:dyDescent="0.35">
      <c r="A15" s="23">
        <v>2</v>
      </c>
      <c r="B15" s="100">
        <v>39</v>
      </c>
      <c r="C15" s="17">
        <v>7</v>
      </c>
      <c r="D15" s="22" t="s">
        <v>129</v>
      </c>
      <c r="E15" s="101">
        <v>129547.19</v>
      </c>
      <c r="F15" s="102">
        <v>2125.6799999999998</v>
      </c>
      <c r="G15" s="102">
        <v>127421.51000000001</v>
      </c>
      <c r="H15" s="103">
        <v>278.90708471167227</v>
      </c>
      <c r="I15" s="104">
        <f t="shared" si="0"/>
        <v>456.8600691220355</v>
      </c>
    </row>
    <row r="16" spans="1:9" x14ac:dyDescent="0.35">
      <c r="A16" s="23">
        <v>2</v>
      </c>
      <c r="B16" s="100">
        <v>41</v>
      </c>
      <c r="C16" s="17">
        <v>5</v>
      </c>
      <c r="D16" s="22" t="s">
        <v>65</v>
      </c>
      <c r="E16" s="101">
        <v>586044.27</v>
      </c>
      <c r="F16" s="102">
        <v>142187.35999999999</v>
      </c>
      <c r="G16" s="102">
        <v>443856.91000000003</v>
      </c>
      <c r="H16" s="103">
        <v>1560.5800000000002</v>
      </c>
      <c r="I16" s="104">
        <f t="shared" si="0"/>
        <v>284.41791513411681</v>
      </c>
    </row>
    <row r="17" spans="1:9" x14ac:dyDescent="0.35">
      <c r="A17" s="23">
        <v>3</v>
      </c>
      <c r="B17" s="100">
        <v>50</v>
      </c>
      <c r="C17" s="17">
        <v>1</v>
      </c>
      <c r="D17" s="22" t="s">
        <v>32</v>
      </c>
      <c r="E17" s="101">
        <v>12234889.41</v>
      </c>
      <c r="F17" s="102">
        <v>2017716.84</v>
      </c>
      <c r="G17" s="102">
        <v>10217172.57</v>
      </c>
      <c r="H17" s="103">
        <v>23188.6</v>
      </c>
      <c r="I17" s="104">
        <f t="shared" si="0"/>
        <v>440.61187695678052</v>
      </c>
    </row>
    <row r="18" spans="1:9" x14ac:dyDescent="0.35">
      <c r="A18" s="23">
        <v>3</v>
      </c>
      <c r="B18" s="100">
        <v>53</v>
      </c>
      <c r="C18" s="17">
        <v>2</v>
      </c>
      <c r="D18" s="22" t="s">
        <v>38</v>
      </c>
      <c r="E18" s="101">
        <v>12255947.5</v>
      </c>
      <c r="F18" s="102">
        <v>2925233.89</v>
      </c>
      <c r="G18" s="102">
        <v>9330713.6099999994</v>
      </c>
      <c r="H18" s="103">
        <v>33206.550000000003</v>
      </c>
      <c r="I18" s="104">
        <f t="shared" si="0"/>
        <v>280.99015435207809</v>
      </c>
    </row>
    <row r="19" spans="1:9" x14ac:dyDescent="0.35">
      <c r="A19" s="23">
        <v>3</v>
      </c>
      <c r="B19" s="100">
        <v>55</v>
      </c>
      <c r="C19" s="17">
        <v>3</v>
      </c>
      <c r="D19" s="22" t="s">
        <v>44</v>
      </c>
      <c r="E19" s="101">
        <v>1491046.76</v>
      </c>
      <c r="F19" s="102">
        <v>64044.21</v>
      </c>
      <c r="G19" s="102">
        <v>1427002.55</v>
      </c>
      <c r="H19" s="103">
        <v>3576.87</v>
      </c>
      <c r="I19" s="104">
        <f t="shared" si="0"/>
        <v>398.95286940816976</v>
      </c>
    </row>
    <row r="20" spans="1:9" x14ac:dyDescent="0.35">
      <c r="A20" s="23">
        <v>3</v>
      </c>
      <c r="B20" s="100">
        <v>56</v>
      </c>
      <c r="C20" s="17">
        <v>5</v>
      </c>
      <c r="D20" s="22" t="s">
        <v>66</v>
      </c>
      <c r="E20" s="101">
        <v>804295.63</v>
      </c>
      <c r="F20" s="102">
        <v>2794.04</v>
      </c>
      <c r="G20" s="102">
        <v>801501.59</v>
      </c>
      <c r="H20" s="103">
        <v>2676.27</v>
      </c>
      <c r="I20" s="104">
        <f t="shared" si="0"/>
        <v>299.48457741558212</v>
      </c>
    </row>
    <row r="21" spans="1:9" x14ac:dyDescent="0.35">
      <c r="A21" s="23">
        <v>3</v>
      </c>
      <c r="B21" s="100">
        <v>59</v>
      </c>
      <c r="C21" s="17">
        <v>7</v>
      </c>
      <c r="D21" s="22" t="s">
        <v>130</v>
      </c>
      <c r="E21" s="101">
        <v>184266.4</v>
      </c>
      <c r="F21" s="102">
        <v>0</v>
      </c>
      <c r="G21" s="102">
        <v>184266.4</v>
      </c>
      <c r="H21" s="103">
        <v>239.48070840653955</v>
      </c>
      <c r="I21" s="104">
        <f t="shared" si="0"/>
        <v>769.44151880155448</v>
      </c>
    </row>
    <row r="22" spans="1:9" x14ac:dyDescent="0.35">
      <c r="A22" s="23">
        <v>3</v>
      </c>
      <c r="B22" s="100">
        <v>67</v>
      </c>
      <c r="C22" s="17">
        <v>5</v>
      </c>
      <c r="D22" s="22" t="s">
        <v>67</v>
      </c>
      <c r="E22" s="101">
        <v>218562.59</v>
      </c>
      <c r="F22" s="102">
        <v>0</v>
      </c>
      <c r="G22" s="102">
        <v>218562.59</v>
      </c>
      <c r="H22" s="103">
        <v>1321.6502663569984</v>
      </c>
      <c r="I22" s="104">
        <f t="shared" si="0"/>
        <v>165.37097261172332</v>
      </c>
    </row>
    <row r="23" spans="1:9" x14ac:dyDescent="0.35">
      <c r="A23" s="23">
        <v>3</v>
      </c>
      <c r="B23" s="100">
        <v>87</v>
      </c>
      <c r="C23" s="17">
        <v>4</v>
      </c>
      <c r="D23" s="22" t="s">
        <v>52</v>
      </c>
      <c r="E23" s="101">
        <v>4874227.17</v>
      </c>
      <c r="F23" s="102">
        <v>686569.08000000007</v>
      </c>
      <c r="G23" s="102">
        <v>4187658.09</v>
      </c>
      <c r="H23" s="103">
        <v>9721.4725999999991</v>
      </c>
      <c r="I23" s="104">
        <f t="shared" si="0"/>
        <v>430.76376000895175</v>
      </c>
    </row>
    <row r="24" spans="1:9" x14ac:dyDescent="0.35">
      <c r="A24" s="23">
        <v>4</v>
      </c>
      <c r="B24" s="100">
        <v>88</v>
      </c>
      <c r="C24" s="17">
        <v>4</v>
      </c>
      <c r="D24" s="22" t="s">
        <v>53</v>
      </c>
      <c r="E24" s="101">
        <v>3364946.54</v>
      </c>
      <c r="F24" s="102">
        <v>458413.27999999997</v>
      </c>
      <c r="G24" s="102">
        <v>2906533.2600000002</v>
      </c>
      <c r="H24" s="103">
        <v>5259.7800000000007</v>
      </c>
      <c r="I24" s="104">
        <f t="shared" si="0"/>
        <v>552.59597549707405</v>
      </c>
    </row>
    <row r="25" spans="1:9" x14ac:dyDescent="0.35">
      <c r="A25" s="23">
        <v>4</v>
      </c>
      <c r="B25" s="100">
        <v>89</v>
      </c>
      <c r="C25" s="17">
        <v>4</v>
      </c>
      <c r="D25" s="22" t="s">
        <v>54</v>
      </c>
      <c r="E25" s="101">
        <v>5180269.63</v>
      </c>
      <c r="F25" s="102">
        <v>409225.55</v>
      </c>
      <c r="G25" s="102">
        <v>4771044.08</v>
      </c>
      <c r="H25" s="103">
        <v>5548.7800000000007</v>
      </c>
      <c r="I25" s="104">
        <f t="shared" si="0"/>
        <v>859.83659110651342</v>
      </c>
    </row>
    <row r="26" spans="1:9" x14ac:dyDescent="0.35">
      <c r="A26" s="23">
        <v>4</v>
      </c>
      <c r="B26" s="100">
        <v>97</v>
      </c>
      <c r="C26" s="17">
        <v>1</v>
      </c>
      <c r="D26" s="22" t="s">
        <v>33</v>
      </c>
      <c r="E26" s="101">
        <v>31289464.210000001</v>
      </c>
      <c r="F26" s="102">
        <v>4915762.76</v>
      </c>
      <c r="G26" s="102">
        <v>26373701.450000003</v>
      </c>
      <c r="H26" s="103">
        <v>57594.14</v>
      </c>
      <c r="I26" s="104">
        <f t="shared" si="0"/>
        <v>457.92334862539843</v>
      </c>
    </row>
    <row r="27" spans="1:9" x14ac:dyDescent="0.35">
      <c r="A27" s="23">
        <v>4</v>
      </c>
      <c r="B27" s="100">
        <v>100</v>
      </c>
      <c r="C27" s="17">
        <v>9</v>
      </c>
      <c r="D27" s="22" t="s">
        <v>244</v>
      </c>
      <c r="E27" s="101">
        <v>31585.98</v>
      </c>
      <c r="F27" s="102">
        <v>0</v>
      </c>
      <c r="G27" s="102">
        <v>31585.98</v>
      </c>
      <c r="H27" s="103">
        <v>35.870600930990676</v>
      </c>
      <c r="I27" s="104">
        <f t="shared" si="0"/>
        <v>880.55341087723605</v>
      </c>
    </row>
    <row r="28" spans="1:9" x14ac:dyDescent="0.35">
      <c r="A28" s="23">
        <v>4</v>
      </c>
      <c r="B28" s="100">
        <v>103</v>
      </c>
      <c r="C28" s="17">
        <v>3</v>
      </c>
      <c r="D28" s="22" t="s">
        <v>45</v>
      </c>
      <c r="E28" s="101">
        <v>1975311.14</v>
      </c>
      <c r="F28" s="102">
        <v>318215.14999999991</v>
      </c>
      <c r="G28" s="102">
        <v>1657095.99</v>
      </c>
      <c r="H28" s="103">
        <v>4188.0400000000009</v>
      </c>
      <c r="I28" s="104">
        <f t="shared" si="0"/>
        <v>395.67339137162003</v>
      </c>
    </row>
    <row r="29" spans="1:9" x14ac:dyDescent="0.35">
      <c r="A29" s="23">
        <v>4</v>
      </c>
      <c r="B29" s="100">
        <v>123</v>
      </c>
      <c r="C29" s="17">
        <v>3</v>
      </c>
      <c r="D29" s="22" t="s">
        <v>46</v>
      </c>
      <c r="E29" s="101">
        <v>3047030.47</v>
      </c>
      <c r="F29" s="102">
        <v>176619</v>
      </c>
      <c r="G29" s="102">
        <v>2870411.47</v>
      </c>
      <c r="H29" s="103">
        <v>6909.68</v>
      </c>
      <c r="I29" s="104">
        <f t="shared" si="0"/>
        <v>415.41887178566884</v>
      </c>
    </row>
    <row r="30" spans="1:9" x14ac:dyDescent="0.35">
      <c r="A30" s="23">
        <v>4</v>
      </c>
      <c r="B30" s="100">
        <v>128</v>
      </c>
      <c r="C30" s="17">
        <v>7</v>
      </c>
      <c r="D30" s="22" t="s">
        <v>131</v>
      </c>
      <c r="E30" s="101">
        <v>117552.35</v>
      </c>
      <c r="F30" s="102">
        <v>305.25</v>
      </c>
      <c r="G30" s="102">
        <v>117247.1</v>
      </c>
      <c r="H30" s="103">
        <v>130.72434272489517</v>
      </c>
      <c r="I30" s="104">
        <f t="shared" si="0"/>
        <v>896.90334298901348</v>
      </c>
    </row>
    <row r="31" spans="1:9" x14ac:dyDescent="0.35">
      <c r="A31" s="23">
        <v>4</v>
      </c>
      <c r="B31" s="100">
        <v>143</v>
      </c>
      <c r="C31" s="17">
        <v>4</v>
      </c>
      <c r="D31" s="22" t="s">
        <v>55</v>
      </c>
      <c r="E31" s="101">
        <v>993236.57</v>
      </c>
      <c r="F31" s="102">
        <v>384202.12</v>
      </c>
      <c r="G31" s="102">
        <v>609034.44999999995</v>
      </c>
      <c r="H31" s="103">
        <v>3029.9</v>
      </c>
      <c r="I31" s="104">
        <f t="shared" si="0"/>
        <v>201.0081025776428</v>
      </c>
    </row>
    <row r="32" spans="1:9" x14ac:dyDescent="0.35">
      <c r="A32" s="23">
        <v>4</v>
      </c>
      <c r="B32" s="100">
        <v>152</v>
      </c>
      <c r="C32" s="17">
        <v>7</v>
      </c>
      <c r="D32" s="22" t="s">
        <v>132</v>
      </c>
      <c r="E32" s="101">
        <v>181493.75</v>
      </c>
      <c r="F32" s="102">
        <v>0</v>
      </c>
      <c r="G32" s="102">
        <v>181493.75</v>
      </c>
      <c r="H32" s="103">
        <v>346.05477418044865</v>
      </c>
      <c r="I32" s="104">
        <f t="shared" si="0"/>
        <v>524.46538392607442</v>
      </c>
    </row>
    <row r="33" spans="1:9" x14ac:dyDescent="0.35">
      <c r="A33" s="23">
        <v>4</v>
      </c>
      <c r="B33" s="100">
        <v>157</v>
      </c>
      <c r="C33" s="17">
        <v>5</v>
      </c>
      <c r="D33" s="22" t="s">
        <v>68</v>
      </c>
      <c r="E33" s="101">
        <v>150227.32999999999</v>
      </c>
      <c r="F33" s="102">
        <v>140</v>
      </c>
      <c r="G33" s="102">
        <v>150087.32999999999</v>
      </c>
      <c r="H33" s="103">
        <v>376.20256066807764</v>
      </c>
      <c r="I33" s="104">
        <f t="shared" si="0"/>
        <v>398.95350455209041</v>
      </c>
    </row>
    <row r="34" spans="1:9" x14ac:dyDescent="0.35">
      <c r="A34" s="23">
        <v>4</v>
      </c>
      <c r="B34" s="100">
        <v>159</v>
      </c>
      <c r="C34" s="17">
        <v>9</v>
      </c>
      <c r="D34" s="22" t="s">
        <v>245</v>
      </c>
      <c r="E34" s="101">
        <v>297599.14</v>
      </c>
      <c r="F34" s="102">
        <v>0</v>
      </c>
      <c r="G34" s="102">
        <v>297599.14</v>
      </c>
      <c r="H34" s="103">
        <v>778.17335536840437</v>
      </c>
      <c r="I34" s="104">
        <f t="shared" si="0"/>
        <v>382.4329604026471</v>
      </c>
    </row>
    <row r="35" spans="1:9" x14ac:dyDescent="0.35">
      <c r="A35" s="23">
        <v>4</v>
      </c>
      <c r="B35" s="100">
        <v>162</v>
      </c>
      <c r="C35" s="17">
        <v>7</v>
      </c>
      <c r="D35" s="22" t="s">
        <v>133</v>
      </c>
      <c r="E35" s="101">
        <v>537402.57999999996</v>
      </c>
      <c r="F35" s="102">
        <v>25872.33</v>
      </c>
      <c r="G35" s="102">
        <v>511530.24999999994</v>
      </c>
      <c r="H35" s="103">
        <v>1228.55</v>
      </c>
      <c r="I35" s="104">
        <f t="shared" si="0"/>
        <v>416.36909364698221</v>
      </c>
    </row>
    <row r="36" spans="1:9" x14ac:dyDescent="0.35">
      <c r="A36" s="23">
        <v>4</v>
      </c>
      <c r="B36" s="100">
        <v>166</v>
      </c>
      <c r="C36" s="17">
        <v>7</v>
      </c>
      <c r="D36" s="22" t="s">
        <v>134</v>
      </c>
      <c r="E36" s="101">
        <v>507400.93</v>
      </c>
      <c r="F36" s="102">
        <v>66582.950000000012</v>
      </c>
      <c r="G36" s="102">
        <v>440817.98</v>
      </c>
      <c r="H36" s="103">
        <v>838.03719999999998</v>
      </c>
      <c r="I36" s="104">
        <f t="shared" si="0"/>
        <v>526.01242522408313</v>
      </c>
    </row>
    <row r="37" spans="1:9" x14ac:dyDescent="0.35">
      <c r="A37" s="23">
        <v>4</v>
      </c>
      <c r="B37" s="100">
        <v>172</v>
      </c>
      <c r="C37" s="17">
        <v>1</v>
      </c>
      <c r="D37" s="22" t="s">
        <v>34</v>
      </c>
      <c r="E37" s="101">
        <v>16464543.279999999</v>
      </c>
      <c r="F37" s="102">
        <v>2082958.0499999998</v>
      </c>
      <c r="G37" s="102">
        <v>14381585.23</v>
      </c>
      <c r="H37" s="103">
        <v>31467.38</v>
      </c>
      <c r="I37" s="104">
        <f t="shared" si="0"/>
        <v>457.03154282307582</v>
      </c>
    </row>
    <row r="38" spans="1:9" x14ac:dyDescent="0.35">
      <c r="A38" s="23">
        <v>4</v>
      </c>
      <c r="B38" s="100">
        <v>173</v>
      </c>
      <c r="C38" s="17">
        <v>9</v>
      </c>
      <c r="D38" s="22" t="s">
        <v>246</v>
      </c>
      <c r="E38" s="101">
        <v>221080.77</v>
      </c>
      <c r="F38" s="102">
        <v>0</v>
      </c>
      <c r="G38" s="102">
        <v>221080.77</v>
      </c>
      <c r="H38" s="103">
        <v>338.94000000000011</v>
      </c>
      <c r="I38" s="104">
        <f t="shared" si="0"/>
        <v>652.27110993096096</v>
      </c>
    </row>
    <row r="39" spans="1:9" x14ac:dyDescent="0.35">
      <c r="A39" s="23">
        <v>5</v>
      </c>
      <c r="B39" s="100">
        <v>179</v>
      </c>
      <c r="C39" s="17">
        <v>3</v>
      </c>
      <c r="D39" s="22" t="s">
        <v>47</v>
      </c>
      <c r="E39" s="101">
        <v>3033586.82</v>
      </c>
      <c r="F39" s="102">
        <v>2380.2800000000002</v>
      </c>
      <c r="G39" s="102">
        <v>3031206.54</v>
      </c>
      <c r="H39" s="103">
        <v>5253.1100000000006</v>
      </c>
      <c r="I39" s="104">
        <f t="shared" si="0"/>
        <v>577.03085219993488</v>
      </c>
    </row>
    <row r="40" spans="1:9" x14ac:dyDescent="0.35">
      <c r="A40" s="23">
        <v>5</v>
      </c>
      <c r="B40" s="100">
        <v>183</v>
      </c>
      <c r="C40" s="17">
        <v>4</v>
      </c>
      <c r="D40" s="22" t="s">
        <v>56</v>
      </c>
      <c r="E40" s="101">
        <v>7395313.79</v>
      </c>
      <c r="F40" s="102">
        <v>335329.55999999994</v>
      </c>
      <c r="G40" s="102">
        <v>7059984.2300000004</v>
      </c>
      <c r="H40" s="103">
        <v>11270.429999999998</v>
      </c>
      <c r="I40" s="104">
        <f t="shared" si="0"/>
        <v>626.41658126619848</v>
      </c>
    </row>
    <row r="41" spans="1:9" x14ac:dyDescent="0.35">
      <c r="A41" s="23">
        <v>5</v>
      </c>
      <c r="B41" s="100">
        <v>186</v>
      </c>
      <c r="C41" s="17">
        <v>4</v>
      </c>
      <c r="D41" s="22" t="s">
        <v>57</v>
      </c>
      <c r="E41" s="101">
        <v>8404512.5399999991</v>
      </c>
      <c r="F41" s="102">
        <v>1707314.1</v>
      </c>
      <c r="G41" s="102">
        <v>6697198.4399999995</v>
      </c>
      <c r="H41" s="103">
        <v>10964.179999999998</v>
      </c>
      <c r="I41" s="104">
        <f t="shared" si="0"/>
        <v>610.82529108423978</v>
      </c>
    </row>
    <row r="42" spans="1:9" x14ac:dyDescent="0.35">
      <c r="A42" s="23">
        <v>5</v>
      </c>
      <c r="B42" s="100">
        <v>188</v>
      </c>
      <c r="C42" s="17">
        <v>8</v>
      </c>
      <c r="D42" s="22" t="s">
        <v>194</v>
      </c>
      <c r="E42" s="101">
        <v>138796.34</v>
      </c>
      <c r="F42" s="102">
        <v>8321.23</v>
      </c>
      <c r="G42" s="102">
        <v>130475.11</v>
      </c>
      <c r="H42" s="103">
        <v>176.85</v>
      </c>
      <c r="I42" s="104">
        <f t="shared" si="0"/>
        <v>737.77274526434837</v>
      </c>
    </row>
    <row r="43" spans="1:9" x14ac:dyDescent="0.35">
      <c r="A43" s="23">
        <v>5</v>
      </c>
      <c r="B43" s="100">
        <v>190</v>
      </c>
      <c r="C43" s="17">
        <v>4</v>
      </c>
      <c r="D43" s="22" t="s">
        <v>58</v>
      </c>
      <c r="E43" s="101">
        <v>2331397.15</v>
      </c>
      <c r="F43" s="102">
        <v>324577.79000000004</v>
      </c>
      <c r="G43" s="102">
        <v>2006819.3599999999</v>
      </c>
      <c r="H43" s="103">
        <v>3314.3799999999997</v>
      </c>
      <c r="I43" s="104">
        <f t="shared" si="0"/>
        <v>605.48861627212329</v>
      </c>
    </row>
    <row r="44" spans="1:9" x14ac:dyDescent="0.35">
      <c r="A44" s="23">
        <v>5</v>
      </c>
      <c r="B44" s="100">
        <v>192</v>
      </c>
      <c r="C44" s="17">
        <v>7</v>
      </c>
      <c r="D44" s="22" t="s">
        <v>135</v>
      </c>
      <c r="E44" s="101">
        <v>166918.9</v>
      </c>
      <c r="F44" s="102">
        <v>18483.46</v>
      </c>
      <c r="G44" s="102">
        <v>148435.44</v>
      </c>
      <c r="H44" s="103">
        <v>233.99</v>
      </c>
      <c r="I44" s="104">
        <f t="shared" si="0"/>
        <v>634.36659686311384</v>
      </c>
    </row>
    <row r="45" spans="1:9" x14ac:dyDescent="0.35">
      <c r="A45" s="23">
        <v>5</v>
      </c>
      <c r="B45" s="100">
        <v>204</v>
      </c>
      <c r="C45" s="17">
        <v>9</v>
      </c>
      <c r="D45" s="22" t="s">
        <v>247</v>
      </c>
      <c r="E45" s="101">
        <v>514725.42</v>
      </c>
      <c r="F45" s="102">
        <v>0</v>
      </c>
      <c r="G45" s="102">
        <v>514725.42</v>
      </c>
      <c r="H45" s="103">
        <v>613.34</v>
      </c>
      <c r="I45" s="104">
        <f t="shared" si="0"/>
        <v>839.21710633580062</v>
      </c>
    </row>
    <row r="46" spans="1:9" x14ac:dyDescent="0.35">
      <c r="A46" s="23">
        <v>5</v>
      </c>
      <c r="B46" s="100">
        <v>205</v>
      </c>
      <c r="C46" s="17">
        <v>7</v>
      </c>
      <c r="D46" s="22" t="s">
        <v>136</v>
      </c>
      <c r="E46" s="101">
        <v>463208.48</v>
      </c>
      <c r="F46" s="102">
        <v>0</v>
      </c>
      <c r="G46" s="102">
        <v>463208.48</v>
      </c>
      <c r="H46" s="103">
        <v>524.57570883633412</v>
      </c>
      <c r="I46" s="104">
        <f t="shared" si="0"/>
        <v>883.01549651914877</v>
      </c>
    </row>
    <row r="47" spans="1:9" x14ac:dyDescent="0.35">
      <c r="A47" s="23">
        <v>5</v>
      </c>
      <c r="B47" s="100">
        <v>212</v>
      </c>
      <c r="C47" s="17">
        <v>7</v>
      </c>
      <c r="D47" s="22" t="s">
        <v>137</v>
      </c>
      <c r="E47" s="101">
        <v>272134.62</v>
      </c>
      <c r="F47" s="102">
        <v>699</v>
      </c>
      <c r="G47" s="102">
        <v>271435.62</v>
      </c>
      <c r="H47" s="103">
        <v>475.16909844194475</v>
      </c>
      <c r="I47" s="104">
        <f t="shared" si="0"/>
        <v>571.24005094191432</v>
      </c>
    </row>
    <row r="48" spans="1:9" x14ac:dyDescent="0.35">
      <c r="A48" s="23">
        <v>5</v>
      </c>
      <c r="B48" s="100">
        <v>214</v>
      </c>
      <c r="C48" s="17">
        <v>5</v>
      </c>
      <c r="D48" s="22" t="s">
        <v>69</v>
      </c>
      <c r="E48" s="101">
        <v>2047370.02</v>
      </c>
      <c r="F48" s="102">
        <v>758449.07</v>
      </c>
      <c r="G48" s="102">
        <v>1288920.9500000002</v>
      </c>
      <c r="H48" s="103">
        <v>3243.7900000000009</v>
      </c>
      <c r="I48" s="104">
        <f t="shared" si="0"/>
        <v>397.35030627753332</v>
      </c>
    </row>
    <row r="49" spans="1:9" x14ac:dyDescent="0.35">
      <c r="A49" s="23">
        <v>5</v>
      </c>
      <c r="B49" s="100">
        <v>216</v>
      </c>
      <c r="C49" s="17">
        <v>7</v>
      </c>
      <c r="D49" s="22" t="s">
        <v>138</v>
      </c>
      <c r="E49" s="101">
        <v>361803.18</v>
      </c>
      <c r="F49" s="102">
        <v>475</v>
      </c>
      <c r="G49" s="102">
        <v>361328.18</v>
      </c>
      <c r="H49" s="103">
        <v>929.2004782208769</v>
      </c>
      <c r="I49" s="104">
        <f t="shared" si="0"/>
        <v>388.85922733469579</v>
      </c>
    </row>
    <row r="50" spans="1:9" x14ac:dyDescent="0.35">
      <c r="A50" s="23">
        <v>5</v>
      </c>
      <c r="B50" s="100">
        <v>218</v>
      </c>
      <c r="C50" s="17">
        <v>9</v>
      </c>
      <c r="D50" s="22" t="s">
        <v>248</v>
      </c>
      <c r="E50" s="101">
        <v>223088.93</v>
      </c>
      <c r="F50" s="102">
        <v>90</v>
      </c>
      <c r="G50" s="102">
        <v>222998.93</v>
      </c>
      <c r="H50" s="103">
        <v>260.49767159363108</v>
      </c>
      <c r="I50" s="104">
        <f t="shared" si="0"/>
        <v>856.04960933344523</v>
      </c>
    </row>
    <row r="51" spans="1:9" x14ac:dyDescent="0.35">
      <c r="A51" s="23">
        <v>5</v>
      </c>
      <c r="B51" s="100">
        <v>223</v>
      </c>
      <c r="C51" s="17">
        <v>5</v>
      </c>
      <c r="D51" s="22" t="s">
        <v>70</v>
      </c>
      <c r="E51" s="101">
        <v>257160.23</v>
      </c>
      <c r="F51" s="102">
        <v>239.17</v>
      </c>
      <c r="G51" s="102">
        <v>256921.06</v>
      </c>
      <c r="H51" s="103">
        <v>302.15999999999997</v>
      </c>
      <c r="I51" s="104">
        <f t="shared" si="0"/>
        <v>850.28150648662972</v>
      </c>
    </row>
    <row r="52" spans="1:9" x14ac:dyDescent="0.35">
      <c r="A52" s="23">
        <v>5</v>
      </c>
      <c r="B52" s="100">
        <v>224</v>
      </c>
      <c r="C52" s="17">
        <v>5</v>
      </c>
      <c r="D52" s="22" t="s">
        <v>71</v>
      </c>
      <c r="E52" s="101">
        <v>90520.65</v>
      </c>
      <c r="F52" s="102">
        <v>255</v>
      </c>
      <c r="G52" s="102">
        <v>90265.65</v>
      </c>
      <c r="H52" s="103">
        <v>175.72469366475895</v>
      </c>
      <c r="I52" s="104">
        <f t="shared" si="0"/>
        <v>513.67652500908866</v>
      </c>
    </row>
    <row r="53" spans="1:9" x14ac:dyDescent="0.35">
      <c r="A53" s="23">
        <v>5</v>
      </c>
      <c r="B53" s="100">
        <v>229</v>
      </c>
      <c r="C53" s="17">
        <v>7</v>
      </c>
      <c r="D53" s="22" t="s">
        <v>139</v>
      </c>
      <c r="E53" s="101">
        <v>452494.41</v>
      </c>
      <c r="F53" s="102">
        <v>67802.040000000023</v>
      </c>
      <c r="G53" s="102">
        <v>384692.36999999994</v>
      </c>
      <c r="H53" s="103">
        <v>854.67000000000007</v>
      </c>
      <c r="I53" s="104">
        <f t="shared" si="0"/>
        <v>450.10632173821466</v>
      </c>
    </row>
    <row r="54" spans="1:9" x14ac:dyDescent="0.35">
      <c r="A54" s="23">
        <v>5</v>
      </c>
      <c r="B54" s="100">
        <v>230</v>
      </c>
      <c r="C54" s="17">
        <v>9</v>
      </c>
      <c r="D54" s="22" t="s">
        <v>249</v>
      </c>
      <c r="E54" s="101">
        <v>129718.27</v>
      </c>
      <c r="F54" s="102">
        <v>2538</v>
      </c>
      <c r="G54" s="102">
        <v>127180.27</v>
      </c>
      <c r="H54" s="103">
        <v>133.83789165377343</v>
      </c>
      <c r="I54" s="104">
        <f t="shared" si="0"/>
        <v>950.25607792002518</v>
      </c>
    </row>
    <row r="55" spans="1:9" x14ac:dyDescent="0.35">
      <c r="A55" s="23">
        <v>5</v>
      </c>
      <c r="B55" s="100">
        <v>232</v>
      </c>
      <c r="C55" s="17">
        <v>8</v>
      </c>
      <c r="D55" s="22" t="s">
        <v>195</v>
      </c>
      <c r="E55" s="101">
        <v>144439.21</v>
      </c>
      <c r="F55" s="102">
        <v>0</v>
      </c>
      <c r="G55" s="102">
        <v>144439.21</v>
      </c>
      <c r="H55" s="103">
        <v>92.941773341802914</v>
      </c>
      <c r="I55" s="104">
        <f t="shared" si="0"/>
        <v>1554.0827854533179</v>
      </c>
    </row>
    <row r="56" spans="1:9" x14ac:dyDescent="0.35">
      <c r="A56" s="23">
        <v>5</v>
      </c>
      <c r="B56" s="100">
        <v>233</v>
      </c>
      <c r="C56" s="17">
        <v>5</v>
      </c>
      <c r="D56" s="22" t="s">
        <v>72</v>
      </c>
      <c r="E56" s="101">
        <v>792036.92</v>
      </c>
      <c r="F56" s="102">
        <v>177381.26</v>
      </c>
      <c r="G56" s="102">
        <v>614655.66</v>
      </c>
      <c r="H56" s="103">
        <v>2307.9799999999996</v>
      </c>
      <c r="I56" s="104">
        <f t="shared" si="0"/>
        <v>266.31758507439412</v>
      </c>
    </row>
    <row r="57" spans="1:9" x14ac:dyDescent="0.35">
      <c r="A57" s="23">
        <v>5</v>
      </c>
      <c r="B57" s="100">
        <v>236</v>
      </c>
      <c r="C57" s="17">
        <v>7</v>
      </c>
      <c r="D57" s="22" t="s">
        <v>140</v>
      </c>
      <c r="E57" s="101">
        <v>683938.6</v>
      </c>
      <c r="F57" s="102">
        <v>123459.02</v>
      </c>
      <c r="G57" s="102">
        <v>560479.57999999996</v>
      </c>
      <c r="H57" s="103">
        <v>1136.2899999999997</v>
      </c>
      <c r="I57" s="104">
        <f t="shared" si="0"/>
        <v>493.25399325876327</v>
      </c>
    </row>
    <row r="58" spans="1:9" x14ac:dyDescent="0.35">
      <c r="A58" s="23">
        <v>5</v>
      </c>
      <c r="B58" s="100">
        <v>238</v>
      </c>
      <c r="C58" s="17">
        <v>7</v>
      </c>
      <c r="D58" s="22" t="s">
        <v>141</v>
      </c>
      <c r="E58" s="101">
        <v>23555.94</v>
      </c>
      <c r="F58" s="102">
        <v>0</v>
      </c>
      <c r="G58" s="102">
        <v>23555.94</v>
      </c>
      <c r="H58" s="103">
        <v>46.657726140452539</v>
      </c>
      <c r="I58" s="104">
        <f t="shared" si="0"/>
        <v>504.86686661690641</v>
      </c>
    </row>
    <row r="59" spans="1:9" x14ac:dyDescent="0.35">
      <c r="A59" s="23">
        <v>5</v>
      </c>
      <c r="B59" s="100">
        <v>239</v>
      </c>
      <c r="C59" s="17">
        <v>7</v>
      </c>
      <c r="D59" s="22" t="s">
        <v>142</v>
      </c>
      <c r="E59" s="101">
        <v>1901248.91</v>
      </c>
      <c r="F59" s="102">
        <v>294548.64</v>
      </c>
      <c r="G59" s="102">
        <v>1606700.27</v>
      </c>
      <c r="H59" s="103">
        <v>3041.54</v>
      </c>
      <c r="I59" s="104">
        <f t="shared" si="0"/>
        <v>528.25222420221337</v>
      </c>
    </row>
    <row r="60" spans="1:9" x14ac:dyDescent="0.35">
      <c r="A60" s="23">
        <v>6</v>
      </c>
      <c r="B60" s="100">
        <v>245</v>
      </c>
      <c r="C60" s="17">
        <v>8</v>
      </c>
      <c r="D60" s="22" t="s">
        <v>196</v>
      </c>
      <c r="E60" s="101">
        <v>721067.3</v>
      </c>
      <c r="F60" s="102">
        <v>0</v>
      </c>
      <c r="G60" s="102">
        <v>721067.3</v>
      </c>
      <c r="H60" s="103">
        <v>224.32999999999998</v>
      </c>
      <c r="I60" s="104">
        <f t="shared" si="0"/>
        <v>3214.315071546383</v>
      </c>
    </row>
    <row r="61" spans="1:9" x14ac:dyDescent="0.35">
      <c r="A61" s="23">
        <v>6</v>
      </c>
      <c r="B61" s="100">
        <v>249</v>
      </c>
      <c r="C61" s="17">
        <v>7</v>
      </c>
      <c r="D61" s="22" t="s">
        <v>143</v>
      </c>
      <c r="E61" s="101">
        <v>811899.34</v>
      </c>
      <c r="F61" s="102">
        <v>0</v>
      </c>
      <c r="G61" s="102">
        <v>811899.34</v>
      </c>
      <c r="H61" s="103">
        <v>1163.0819162110436</v>
      </c>
      <c r="I61" s="104">
        <f t="shared" si="0"/>
        <v>698.05860505931832</v>
      </c>
    </row>
    <row r="62" spans="1:9" x14ac:dyDescent="0.35">
      <c r="A62" s="23">
        <v>6</v>
      </c>
      <c r="B62" s="100">
        <v>270</v>
      </c>
      <c r="C62" s="17">
        <v>1</v>
      </c>
      <c r="D62" s="22" t="s">
        <v>35</v>
      </c>
      <c r="E62" s="101">
        <v>38388637.640000001</v>
      </c>
      <c r="F62" s="102">
        <v>185109.55</v>
      </c>
      <c r="G62" s="102">
        <v>38203528.090000004</v>
      </c>
      <c r="H62" s="103">
        <v>76782.87</v>
      </c>
      <c r="I62" s="104">
        <f t="shared" si="0"/>
        <v>497.55274959115235</v>
      </c>
    </row>
    <row r="63" spans="1:9" x14ac:dyDescent="0.35">
      <c r="A63" s="23">
        <v>6</v>
      </c>
      <c r="B63" s="100">
        <v>271</v>
      </c>
      <c r="C63" s="17">
        <v>7</v>
      </c>
      <c r="D63" s="22" t="s">
        <v>144</v>
      </c>
      <c r="E63" s="101">
        <v>915776.78</v>
      </c>
      <c r="F63" s="102">
        <v>186887.22999999998</v>
      </c>
      <c r="G63" s="102">
        <v>728889.55</v>
      </c>
      <c r="H63" s="103">
        <v>841.90000000000009</v>
      </c>
      <c r="I63" s="104">
        <f t="shared" si="0"/>
        <v>865.76737142178399</v>
      </c>
    </row>
    <row r="64" spans="1:9" x14ac:dyDescent="0.35">
      <c r="A64" s="23">
        <v>6</v>
      </c>
      <c r="B64" s="100">
        <v>272</v>
      </c>
      <c r="C64" s="17">
        <v>5</v>
      </c>
      <c r="D64" s="22" t="s">
        <v>73</v>
      </c>
      <c r="E64" s="101">
        <v>107113.39</v>
      </c>
      <c r="F64" s="102">
        <v>0</v>
      </c>
      <c r="G64" s="102">
        <v>107113.39</v>
      </c>
      <c r="H64" s="103">
        <v>341.829327199609</v>
      </c>
      <c r="I64" s="104">
        <f t="shared" si="0"/>
        <v>313.35342370273526</v>
      </c>
    </row>
    <row r="65" spans="1:9" x14ac:dyDescent="0.35">
      <c r="A65" s="23">
        <v>6</v>
      </c>
      <c r="B65" s="100">
        <v>275</v>
      </c>
      <c r="C65" s="17">
        <v>7</v>
      </c>
      <c r="D65" s="22" t="s">
        <v>145</v>
      </c>
      <c r="E65" s="101">
        <v>469715.12</v>
      </c>
      <c r="F65" s="102">
        <v>81956.409999999989</v>
      </c>
      <c r="G65" s="102">
        <v>387758.71</v>
      </c>
      <c r="H65" s="103">
        <v>692.28</v>
      </c>
      <c r="I65" s="104">
        <f t="shared" si="0"/>
        <v>560.11831917721156</v>
      </c>
    </row>
    <row r="66" spans="1:9" x14ac:dyDescent="0.35">
      <c r="A66" s="23">
        <v>6</v>
      </c>
      <c r="B66" s="100">
        <v>277</v>
      </c>
      <c r="C66" s="17">
        <v>9</v>
      </c>
      <c r="D66" s="22" t="s">
        <v>250</v>
      </c>
      <c r="E66" s="101">
        <v>207513.60000000001</v>
      </c>
      <c r="F66" s="102">
        <v>0</v>
      </c>
      <c r="G66" s="102">
        <v>207513.60000000001</v>
      </c>
      <c r="H66" s="103">
        <v>97.350000000000009</v>
      </c>
      <c r="I66" s="104">
        <f t="shared" si="0"/>
        <v>2131.6240369799689</v>
      </c>
    </row>
    <row r="67" spans="1:9" x14ac:dyDescent="0.35">
      <c r="A67" s="23">
        <v>6</v>
      </c>
      <c r="B67" s="100">
        <v>279</v>
      </c>
      <c r="C67" s="17">
        <v>9</v>
      </c>
      <c r="D67" s="22" t="s">
        <v>251</v>
      </c>
      <c r="E67" s="101">
        <v>182431.5</v>
      </c>
      <c r="F67" s="102">
        <v>106</v>
      </c>
      <c r="G67" s="102">
        <v>182325.5</v>
      </c>
      <c r="H67" s="103">
        <v>318.31362465983165</v>
      </c>
      <c r="I67" s="104">
        <f t="shared" si="0"/>
        <v>572.78572412614631</v>
      </c>
    </row>
    <row r="68" spans="1:9" x14ac:dyDescent="0.35">
      <c r="A68" s="23">
        <v>6</v>
      </c>
      <c r="B68" s="100">
        <v>282</v>
      </c>
      <c r="C68" s="17">
        <v>7</v>
      </c>
      <c r="D68" s="22" t="s">
        <v>146</v>
      </c>
      <c r="E68" s="101">
        <v>65689.240000000005</v>
      </c>
      <c r="F68" s="102">
        <v>0</v>
      </c>
      <c r="G68" s="102">
        <v>65689.240000000005</v>
      </c>
      <c r="H68" s="103">
        <v>125.62564520141217</v>
      </c>
      <c r="I68" s="104">
        <f t="shared" si="0"/>
        <v>522.89673732367498</v>
      </c>
    </row>
    <row r="69" spans="1:9" x14ac:dyDescent="0.35">
      <c r="A69" s="23">
        <v>6</v>
      </c>
      <c r="B69" s="100">
        <v>287</v>
      </c>
      <c r="C69" s="17">
        <v>7</v>
      </c>
      <c r="D69" s="22" t="s">
        <v>147</v>
      </c>
      <c r="E69" s="101">
        <v>115146.34</v>
      </c>
      <c r="F69" s="102">
        <v>102</v>
      </c>
      <c r="G69" s="102">
        <v>115044.34</v>
      </c>
      <c r="H69" s="103">
        <v>152.73047186443509</v>
      </c>
      <c r="I69" s="104">
        <f t="shared" ref="I69:I132" si="1">IFERROR(G69/H69,0)</f>
        <v>753.2507337639496</v>
      </c>
    </row>
    <row r="70" spans="1:9" x14ac:dyDescent="0.35">
      <c r="A70" s="23">
        <v>6</v>
      </c>
      <c r="B70" s="100">
        <v>290</v>
      </c>
      <c r="C70" s="17">
        <v>7</v>
      </c>
      <c r="D70" s="22" t="s">
        <v>148</v>
      </c>
      <c r="E70" s="101">
        <v>241368.83</v>
      </c>
      <c r="F70" s="102">
        <v>19503.5</v>
      </c>
      <c r="G70" s="102">
        <v>221865.33</v>
      </c>
      <c r="H70" s="103">
        <v>320.95069482223562</v>
      </c>
      <c r="I70" s="104">
        <f t="shared" si="1"/>
        <v>691.27543133341442</v>
      </c>
    </row>
    <row r="71" spans="1:9" x14ac:dyDescent="0.35">
      <c r="A71" s="23">
        <v>6</v>
      </c>
      <c r="B71" s="100">
        <v>293</v>
      </c>
      <c r="C71" s="17">
        <v>3</v>
      </c>
      <c r="D71" s="22" t="s">
        <v>48</v>
      </c>
      <c r="E71" s="101">
        <v>3146424.08</v>
      </c>
      <c r="F71" s="102">
        <v>688610.91</v>
      </c>
      <c r="G71" s="102">
        <v>2457813.17</v>
      </c>
      <c r="H71" s="103">
        <v>6242.8000000000011</v>
      </c>
      <c r="I71" s="104">
        <f t="shared" si="1"/>
        <v>393.7036538091881</v>
      </c>
    </row>
    <row r="72" spans="1:9" x14ac:dyDescent="0.35">
      <c r="A72" s="23">
        <v>6</v>
      </c>
      <c r="B72" s="100">
        <v>294</v>
      </c>
      <c r="C72" s="17">
        <v>7</v>
      </c>
      <c r="D72" s="22" t="s">
        <v>149</v>
      </c>
      <c r="E72" s="101">
        <v>656278.9</v>
      </c>
      <c r="F72" s="102">
        <v>746</v>
      </c>
      <c r="G72" s="102">
        <v>655532.9</v>
      </c>
      <c r="H72" s="103">
        <v>1096.2002031679949</v>
      </c>
      <c r="I72" s="104">
        <f t="shared" si="1"/>
        <v>598.00472405088419</v>
      </c>
    </row>
    <row r="73" spans="1:9" x14ac:dyDescent="0.35">
      <c r="A73" s="23">
        <v>6</v>
      </c>
      <c r="B73" s="100">
        <v>296</v>
      </c>
      <c r="C73" s="17">
        <v>7</v>
      </c>
      <c r="D73" s="22" t="s">
        <v>150</v>
      </c>
      <c r="E73" s="101">
        <v>899174.32</v>
      </c>
      <c r="F73" s="102">
        <v>122809.44</v>
      </c>
      <c r="G73" s="102">
        <v>776364.87999999989</v>
      </c>
      <c r="H73" s="103">
        <v>801.5</v>
      </c>
      <c r="I73" s="104">
        <f t="shared" si="1"/>
        <v>968.63990018714901</v>
      </c>
    </row>
    <row r="74" spans="1:9" x14ac:dyDescent="0.35">
      <c r="A74" s="23">
        <v>6</v>
      </c>
      <c r="B74" s="100">
        <v>301</v>
      </c>
      <c r="C74" s="17">
        <v>7</v>
      </c>
      <c r="D74" s="22" t="s">
        <v>151</v>
      </c>
      <c r="E74" s="101">
        <v>491037.6</v>
      </c>
      <c r="F74" s="102">
        <v>37594.660000000003</v>
      </c>
      <c r="G74" s="102">
        <v>453442.93999999994</v>
      </c>
      <c r="H74" s="103">
        <v>622.0088866393462</v>
      </c>
      <c r="I74" s="104">
        <f t="shared" si="1"/>
        <v>728.99752678761274</v>
      </c>
    </row>
    <row r="75" spans="1:9" x14ac:dyDescent="0.35">
      <c r="A75" s="23">
        <v>6</v>
      </c>
      <c r="B75" s="100">
        <v>321</v>
      </c>
      <c r="C75" s="17">
        <v>7</v>
      </c>
      <c r="D75" s="22" t="s">
        <v>152</v>
      </c>
      <c r="E75" s="101">
        <v>453466.55</v>
      </c>
      <c r="F75" s="102">
        <v>20867.23</v>
      </c>
      <c r="G75" s="102">
        <v>432599.32</v>
      </c>
      <c r="H75" s="103">
        <v>735.59</v>
      </c>
      <c r="I75" s="104">
        <f t="shared" si="1"/>
        <v>588.09842439402382</v>
      </c>
    </row>
    <row r="76" spans="1:9" x14ac:dyDescent="0.35">
      <c r="A76" s="23">
        <v>6</v>
      </c>
      <c r="B76" s="100">
        <v>324</v>
      </c>
      <c r="C76" s="17">
        <v>4</v>
      </c>
      <c r="D76" s="22" t="s">
        <v>59</v>
      </c>
      <c r="E76" s="101">
        <v>5025603.96</v>
      </c>
      <c r="F76" s="102">
        <v>692318.7</v>
      </c>
      <c r="G76" s="102">
        <v>4333285.26</v>
      </c>
      <c r="H76" s="103">
        <v>7352.2000000000007</v>
      </c>
      <c r="I76" s="104">
        <f t="shared" si="1"/>
        <v>589.38620548951326</v>
      </c>
    </row>
    <row r="77" spans="1:9" x14ac:dyDescent="0.35">
      <c r="A77" s="23">
        <v>6</v>
      </c>
      <c r="B77" s="100">
        <v>325</v>
      </c>
      <c r="C77" s="17">
        <v>7</v>
      </c>
      <c r="D77" s="22" t="s">
        <v>153</v>
      </c>
      <c r="E77" s="101">
        <v>321114.27</v>
      </c>
      <c r="F77" s="102">
        <v>420</v>
      </c>
      <c r="G77" s="102">
        <v>320694.27</v>
      </c>
      <c r="H77" s="103">
        <v>385.2456057985475</v>
      </c>
      <c r="I77" s="104">
        <f t="shared" si="1"/>
        <v>832.44108478604517</v>
      </c>
    </row>
    <row r="78" spans="1:9" x14ac:dyDescent="0.35">
      <c r="A78" s="23">
        <v>6</v>
      </c>
      <c r="B78" s="100">
        <v>331</v>
      </c>
      <c r="C78" s="17">
        <v>9</v>
      </c>
      <c r="D78" s="22" t="s">
        <v>252</v>
      </c>
      <c r="E78" s="101">
        <v>175919.58</v>
      </c>
      <c r="F78" s="102">
        <v>0</v>
      </c>
      <c r="G78" s="102">
        <v>175919.58</v>
      </c>
      <c r="H78" s="103">
        <v>375.16496465067547</v>
      </c>
      <c r="I78" s="104">
        <f t="shared" si="1"/>
        <v>468.91260265681433</v>
      </c>
    </row>
    <row r="79" spans="1:9" x14ac:dyDescent="0.35">
      <c r="A79" s="23">
        <v>6</v>
      </c>
      <c r="B79" s="100">
        <v>335</v>
      </c>
      <c r="C79" s="17">
        <v>2</v>
      </c>
      <c r="D79" s="22" t="s">
        <v>39</v>
      </c>
      <c r="E79" s="101">
        <v>14716877.939999999</v>
      </c>
      <c r="F79" s="102">
        <v>2164273.0699999998</v>
      </c>
      <c r="G79" s="102">
        <v>12552604.869999999</v>
      </c>
      <c r="H79" s="103">
        <v>26354.27</v>
      </c>
      <c r="I79" s="104">
        <f t="shared" si="1"/>
        <v>476.30250695617821</v>
      </c>
    </row>
    <row r="80" spans="1:9" x14ac:dyDescent="0.35">
      <c r="A80" s="23">
        <v>6</v>
      </c>
      <c r="B80" s="100">
        <v>346</v>
      </c>
      <c r="C80" s="17">
        <v>7</v>
      </c>
      <c r="D80" s="22" t="s">
        <v>154</v>
      </c>
      <c r="E80" s="101">
        <v>184009.64</v>
      </c>
      <c r="F80" s="102">
        <v>17890.460000000003</v>
      </c>
      <c r="G80" s="102">
        <v>166119.18000000002</v>
      </c>
      <c r="H80" s="103">
        <v>227.74</v>
      </c>
      <c r="I80" s="104">
        <f t="shared" si="1"/>
        <v>729.42469482743491</v>
      </c>
    </row>
    <row r="81" spans="1:9" x14ac:dyDescent="0.35">
      <c r="A81" s="23">
        <v>6</v>
      </c>
      <c r="B81" s="100">
        <v>357</v>
      </c>
      <c r="C81" s="17">
        <v>2</v>
      </c>
      <c r="D81" s="22" t="s">
        <v>40</v>
      </c>
      <c r="E81" s="101">
        <v>15651927.32</v>
      </c>
      <c r="F81" s="102">
        <v>3863038.7800000003</v>
      </c>
      <c r="G81" s="102">
        <v>11788888.539999999</v>
      </c>
      <c r="H81" s="103">
        <v>35944.75</v>
      </c>
      <c r="I81" s="104">
        <f t="shared" si="1"/>
        <v>327.97247275332279</v>
      </c>
    </row>
    <row r="82" spans="1:9" x14ac:dyDescent="0.35">
      <c r="A82" s="23">
        <v>6</v>
      </c>
      <c r="B82" s="100">
        <v>358</v>
      </c>
      <c r="C82" s="17">
        <v>7</v>
      </c>
      <c r="D82" s="22" t="s">
        <v>155</v>
      </c>
      <c r="E82" s="101">
        <v>252248.3</v>
      </c>
      <c r="F82" s="102">
        <v>25760.270000000004</v>
      </c>
      <c r="G82" s="102">
        <v>226488.02999999997</v>
      </c>
      <c r="H82" s="103">
        <v>329.13</v>
      </c>
      <c r="I82" s="104">
        <f t="shared" si="1"/>
        <v>688.14155500865911</v>
      </c>
    </row>
    <row r="83" spans="1:9" x14ac:dyDescent="0.35">
      <c r="A83" s="23">
        <v>6</v>
      </c>
      <c r="B83" s="100">
        <v>361</v>
      </c>
      <c r="C83" s="17">
        <v>7</v>
      </c>
      <c r="D83" s="22" t="s">
        <v>156</v>
      </c>
      <c r="E83" s="101">
        <v>1053513.96</v>
      </c>
      <c r="F83" s="102">
        <v>9561.06</v>
      </c>
      <c r="G83" s="102">
        <v>1043952.8999999999</v>
      </c>
      <c r="H83" s="103">
        <v>1661.2809709614248</v>
      </c>
      <c r="I83" s="104">
        <f t="shared" si="1"/>
        <v>628.4023703683539</v>
      </c>
    </row>
    <row r="84" spans="1:9" x14ac:dyDescent="0.35">
      <c r="A84" s="23">
        <v>6</v>
      </c>
      <c r="B84" s="100">
        <v>369</v>
      </c>
      <c r="C84" s="17">
        <v>9</v>
      </c>
      <c r="D84" s="22" t="s">
        <v>253</v>
      </c>
      <c r="E84" s="101">
        <v>448718.25</v>
      </c>
      <c r="F84" s="102">
        <v>0</v>
      </c>
      <c r="G84" s="102">
        <v>448718.25</v>
      </c>
      <c r="H84" s="103">
        <v>421.83</v>
      </c>
      <c r="I84" s="104">
        <f t="shared" si="1"/>
        <v>1063.7419102482042</v>
      </c>
    </row>
    <row r="85" spans="1:9" x14ac:dyDescent="0.35">
      <c r="A85" s="23">
        <v>6</v>
      </c>
      <c r="B85" s="100">
        <v>372</v>
      </c>
      <c r="C85" s="17">
        <v>8</v>
      </c>
      <c r="D85" s="22" t="s">
        <v>197</v>
      </c>
      <c r="E85" s="101">
        <v>119428.68</v>
      </c>
      <c r="F85" s="102">
        <v>0</v>
      </c>
      <c r="G85" s="102">
        <v>119428.68</v>
      </c>
      <c r="H85" s="103">
        <v>146.79999999999998</v>
      </c>
      <c r="I85" s="104">
        <f t="shared" si="1"/>
        <v>813.54686648501365</v>
      </c>
    </row>
    <row r="86" spans="1:9" x14ac:dyDescent="0.35">
      <c r="A86" s="23">
        <v>6</v>
      </c>
      <c r="B86" s="100">
        <v>375</v>
      </c>
      <c r="C86" s="17">
        <v>8</v>
      </c>
      <c r="D86" s="22" t="s">
        <v>198</v>
      </c>
      <c r="E86" s="101">
        <v>256512.41</v>
      </c>
      <c r="F86" s="102">
        <v>0</v>
      </c>
      <c r="G86" s="102">
        <v>256512.41</v>
      </c>
      <c r="H86" s="103">
        <v>165.67999999999998</v>
      </c>
      <c r="I86" s="104">
        <f t="shared" si="1"/>
        <v>1548.2400410429746</v>
      </c>
    </row>
    <row r="87" spans="1:9" x14ac:dyDescent="0.35">
      <c r="A87" s="23">
        <v>6</v>
      </c>
      <c r="B87" s="100">
        <v>376</v>
      </c>
      <c r="C87" s="17">
        <v>7</v>
      </c>
      <c r="D87" s="22" t="s">
        <v>157</v>
      </c>
      <c r="E87" s="101">
        <v>404075.88</v>
      </c>
      <c r="F87" s="102">
        <v>240</v>
      </c>
      <c r="G87" s="102">
        <v>403835.88</v>
      </c>
      <c r="H87" s="103">
        <v>730.1929708766545</v>
      </c>
      <c r="I87" s="104">
        <f t="shared" si="1"/>
        <v>553.05363938954804</v>
      </c>
    </row>
    <row r="88" spans="1:9" x14ac:dyDescent="0.35">
      <c r="A88" s="23">
        <v>6</v>
      </c>
      <c r="B88" s="100">
        <v>382</v>
      </c>
      <c r="C88" s="17">
        <v>7</v>
      </c>
      <c r="D88" s="22" t="s">
        <v>158</v>
      </c>
      <c r="E88" s="101">
        <v>117105.77</v>
      </c>
      <c r="F88" s="102">
        <v>17625.36</v>
      </c>
      <c r="G88" s="102">
        <v>99480.41</v>
      </c>
      <c r="H88" s="103">
        <v>221.7</v>
      </c>
      <c r="I88" s="104">
        <f t="shared" si="1"/>
        <v>448.71632837167346</v>
      </c>
    </row>
    <row r="89" spans="1:9" x14ac:dyDescent="0.35">
      <c r="A89" s="23">
        <v>6</v>
      </c>
      <c r="B89" s="100">
        <v>389</v>
      </c>
      <c r="C89" s="17">
        <v>7</v>
      </c>
      <c r="D89" s="22" t="s">
        <v>159</v>
      </c>
      <c r="E89" s="101">
        <v>631839.66</v>
      </c>
      <c r="F89" s="102">
        <v>612</v>
      </c>
      <c r="G89" s="102">
        <v>631227.66</v>
      </c>
      <c r="H89" s="103">
        <v>843.78442490843361</v>
      </c>
      <c r="I89" s="104">
        <f t="shared" si="1"/>
        <v>748.09114907341416</v>
      </c>
    </row>
    <row r="90" spans="1:9" x14ac:dyDescent="0.35">
      <c r="A90" s="23">
        <v>6</v>
      </c>
      <c r="B90" s="100">
        <v>394</v>
      </c>
      <c r="C90" s="17">
        <v>6</v>
      </c>
      <c r="D90" s="22" t="s">
        <v>85</v>
      </c>
      <c r="E90" s="101">
        <v>424157.84</v>
      </c>
      <c r="F90" s="102">
        <v>18641.16</v>
      </c>
      <c r="G90" s="102">
        <v>405516.68000000005</v>
      </c>
      <c r="H90" s="103">
        <v>519.76</v>
      </c>
      <c r="I90" s="104">
        <f t="shared" si="1"/>
        <v>780.19986147452687</v>
      </c>
    </row>
    <row r="91" spans="1:9" x14ac:dyDescent="0.35">
      <c r="A91" s="23">
        <v>6</v>
      </c>
      <c r="B91" s="100">
        <v>404</v>
      </c>
      <c r="C91" s="17">
        <v>8</v>
      </c>
      <c r="D91" s="22" t="s">
        <v>199</v>
      </c>
      <c r="E91" s="101">
        <v>352203.44</v>
      </c>
      <c r="F91" s="102">
        <v>10126.56</v>
      </c>
      <c r="G91" s="102">
        <v>342076.88</v>
      </c>
      <c r="H91" s="103">
        <v>637.91</v>
      </c>
      <c r="I91" s="104">
        <f t="shared" si="1"/>
        <v>536.24630433760251</v>
      </c>
    </row>
    <row r="92" spans="1:9" x14ac:dyDescent="0.35">
      <c r="A92" s="23">
        <v>6</v>
      </c>
      <c r="B92" s="100">
        <v>413</v>
      </c>
      <c r="C92" s="17">
        <v>8</v>
      </c>
      <c r="D92" s="22" t="s">
        <v>200</v>
      </c>
      <c r="E92" s="101">
        <v>71315.58</v>
      </c>
      <c r="F92" s="102">
        <v>44</v>
      </c>
      <c r="G92" s="102">
        <v>71271.58</v>
      </c>
      <c r="H92" s="103">
        <v>82.92</v>
      </c>
      <c r="I92" s="104">
        <f t="shared" si="1"/>
        <v>859.52219006271105</v>
      </c>
    </row>
    <row r="93" spans="1:9" x14ac:dyDescent="0.35">
      <c r="A93" s="23">
        <v>6</v>
      </c>
      <c r="B93" s="100">
        <v>414</v>
      </c>
      <c r="C93" s="17">
        <v>6</v>
      </c>
      <c r="D93" s="22" t="s">
        <v>86</v>
      </c>
      <c r="E93" s="101">
        <v>229461.81</v>
      </c>
      <c r="F93" s="102">
        <v>12694.75</v>
      </c>
      <c r="G93" s="102">
        <v>216767.06</v>
      </c>
      <c r="H93" s="103">
        <v>191.23356743937211</v>
      </c>
      <c r="I93" s="104">
        <f t="shared" si="1"/>
        <v>1133.5199301175141</v>
      </c>
    </row>
    <row r="94" spans="1:9" x14ac:dyDescent="0.35">
      <c r="A94" s="23">
        <v>6</v>
      </c>
      <c r="B94" s="100">
        <v>416</v>
      </c>
      <c r="C94" s="17">
        <v>9</v>
      </c>
      <c r="D94" s="22" t="s">
        <v>254</v>
      </c>
      <c r="E94" s="101">
        <v>87493.47</v>
      </c>
      <c r="F94" s="102">
        <v>0</v>
      </c>
      <c r="G94" s="102">
        <v>87493.47</v>
      </c>
      <c r="H94" s="103">
        <v>67.157926543754371</v>
      </c>
      <c r="I94" s="104">
        <f t="shared" si="1"/>
        <v>1302.8018359530015</v>
      </c>
    </row>
    <row r="95" spans="1:9" x14ac:dyDescent="0.35">
      <c r="A95" s="23">
        <v>6</v>
      </c>
      <c r="B95" s="100">
        <v>420</v>
      </c>
      <c r="C95" s="17">
        <v>9</v>
      </c>
      <c r="D95" s="22" t="s">
        <v>255</v>
      </c>
      <c r="E95" s="101">
        <v>372339.55</v>
      </c>
      <c r="F95" s="102">
        <v>144.32</v>
      </c>
      <c r="G95" s="102">
        <v>372195.23</v>
      </c>
      <c r="H95" s="103">
        <v>398.26210274242231</v>
      </c>
      <c r="I95" s="104">
        <f t="shared" si="1"/>
        <v>934.54844796196642</v>
      </c>
    </row>
    <row r="96" spans="1:9" x14ac:dyDescent="0.35">
      <c r="A96" s="23">
        <v>6</v>
      </c>
      <c r="B96" s="100">
        <v>426</v>
      </c>
      <c r="C96" s="17">
        <v>6</v>
      </c>
      <c r="D96" s="22" t="s">
        <v>87</v>
      </c>
      <c r="E96" s="101">
        <v>186430.85</v>
      </c>
      <c r="F96" s="102">
        <v>0</v>
      </c>
      <c r="G96" s="102">
        <v>186430.85</v>
      </c>
      <c r="H96" s="103">
        <v>501.91164666939414</v>
      </c>
      <c r="I96" s="104">
        <f t="shared" si="1"/>
        <v>371.4415699199759</v>
      </c>
    </row>
    <row r="97" spans="1:9" x14ac:dyDescent="0.35">
      <c r="A97" s="23">
        <v>6</v>
      </c>
      <c r="B97" s="100">
        <v>427</v>
      </c>
      <c r="C97" s="17">
        <v>5</v>
      </c>
      <c r="D97" s="22" t="s">
        <v>74</v>
      </c>
      <c r="E97" s="101">
        <v>240339.98</v>
      </c>
      <c r="F97" s="102">
        <v>34068.35</v>
      </c>
      <c r="G97" s="102">
        <v>206271.63</v>
      </c>
      <c r="H97" s="103">
        <v>437.07000000000005</v>
      </c>
      <c r="I97" s="104">
        <f t="shared" si="1"/>
        <v>471.94186285949615</v>
      </c>
    </row>
    <row r="98" spans="1:9" x14ac:dyDescent="0.35">
      <c r="A98" s="23">
        <v>6</v>
      </c>
      <c r="B98" s="100">
        <v>429</v>
      </c>
      <c r="C98" s="17">
        <v>4</v>
      </c>
      <c r="D98" s="22" t="s">
        <v>60</v>
      </c>
      <c r="E98" s="101">
        <v>1536857.42</v>
      </c>
      <c r="F98" s="102">
        <v>266727.62</v>
      </c>
      <c r="G98" s="102">
        <v>1270129.7999999998</v>
      </c>
      <c r="H98" s="103">
        <v>4010.8067999999998</v>
      </c>
      <c r="I98" s="104">
        <f t="shared" si="1"/>
        <v>316.67688406232878</v>
      </c>
    </row>
    <row r="99" spans="1:9" x14ac:dyDescent="0.35">
      <c r="A99" s="23">
        <v>6</v>
      </c>
      <c r="B99" s="100">
        <v>430</v>
      </c>
      <c r="C99" s="17">
        <v>6</v>
      </c>
      <c r="D99" s="22" t="s">
        <v>88</v>
      </c>
      <c r="E99" s="101">
        <v>1798380.04</v>
      </c>
      <c r="F99" s="102">
        <v>40</v>
      </c>
      <c r="G99" s="102">
        <v>1798340.04</v>
      </c>
      <c r="H99" s="103">
        <v>2802.7979713615323</v>
      </c>
      <c r="I99" s="104">
        <f t="shared" si="1"/>
        <v>641.6231417230581</v>
      </c>
    </row>
    <row r="100" spans="1:9" x14ac:dyDescent="0.35">
      <c r="A100" s="23">
        <v>6</v>
      </c>
      <c r="B100" s="100">
        <v>434</v>
      </c>
      <c r="C100" s="17">
        <v>7</v>
      </c>
      <c r="D100" s="22" t="s">
        <v>160</v>
      </c>
      <c r="E100" s="101">
        <v>139116.31</v>
      </c>
      <c r="F100" s="102">
        <v>0</v>
      </c>
      <c r="G100" s="102">
        <v>139116.31</v>
      </c>
      <c r="H100" s="103">
        <v>280.52473359432912</v>
      </c>
      <c r="I100" s="104">
        <f t="shared" si="1"/>
        <v>495.91459625509566</v>
      </c>
    </row>
    <row r="101" spans="1:9" x14ac:dyDescent="0.35">
      <c r="A101" s="23">
        <v>6</v>
      </c>
      <c r="B101" s="100">
        <v>437</v>
      </c>
      <c r="C101" s="17">
        <v>7</v>
      </c>
      <c r="D101" s="22" t="s">
        <v>161</v>
      </c>
      <c r="E101" s="101">
        <v>249176.09</v>
      </c>
      <c r="F101" s="102">
        <v>0</v>
      </c>
      <c r="G101" s="102">
        <v>249176.09</v>
      </c>
      <c r="H101" s="103">
        <v>361.91078539818926</v>
      </c>
      <c r="I101" s="104">
        <f t="shared" si="1"/>
        <v>688.50142093954491</v>
      </c>
    </row>
    <row r="102" spans="1:9" x14ac:dyDescent="0.35">
      <c r="A102" s="23">
        <v>6</v>
      </c>
      <c r="B102" s="100">
        <v>441</v>
      </c>
      <c r="C102" s="17">
        <v>2</v>
      </c>
      <c r="D102" s="22" t="s">
        <v>41</v>
      </c>
      <c r="E102" s="101">
        <v>22593726.120000001</v>
      </c>
      <c r="F102" s="102">
        <v>6993295.8300000001</v>
      </c>
      <c r="G102" s="102">
        <v>15600430.290000001</v>
      </c>
      <c r="H102" s="103">
        <v>60398.659999999996</v>
      </c>
      <c r="I102" s="104">
        <f t="shared" si="1"/>
        <v>258.29099999900666</v>
      </c>
    </row>
    <row r="103" spans="1:9" x14ac:dyDescent="0.35">
      <c r="A103" s="23">
        <v>6</v>
      </c>
      <c r="B103" s="100">
        <v>443</v>
      </c>
      <c r="C103" s="17">
        <v>6</v>
      </c>
      <c r="D103" s="22" t="s">
        <v>89</v>
      </c>
      <c r="E103" s="101">
        <v>15828.58</v>
      </c>
      <c r="F103" s="102">
        <v>0</v>
      </c>
      <c r="G103" s="102">
        <v>15828.58</v>
      </c>
      <c r="H103" s="103">
        <v>15.06</v>
      </c>
      <c r="I103" s="104">
        <f t="shared" si="1"/>
        <v>1051.0345285524568</v>
      </c>
    </row>
    <row r="104" spans="1:9" x14ac:dyDescent="0.35">
      <c r="A104" s="23">
        <v>6</v>
      </c>
      <c r="B104" s="100">
        <v>502</v>
      </c>
      <c r="C104" s="17">
        <v>7</v>
      </c>
      <c r="D104" s="22" t="s">
        <v>162</v>
      </c>
      <c r="E104" s="101">
        <v>493805.26</v>
      </c>
      <c r="F104" s="102">
        <v>41271.96</v>
      </c>
      <c r="G104" s="102">
        <v>452533.3</v>
      </c>
      <c r="H104" s="103">
        <v>558.081234097368</v>
      </c>
      <c r="I104" s="104">
        <f t="shared" si="1"/>
        <v>810.8735294278805</v>
      </c>
    </row>
    <row r="105" spans="1:9" x14ac:dyDescent="0.35">
      <c r="A105" s="23">
        <v>6</v>
      </c>
      <c r="B105" s="100">
        <v>503</v>
      </c>
      <c r="C105" s="17">
        <v>7</v>
      </c>
      <c r="D105" s="22" t="s">
        <v>163</v>
      </c>
      <c r="E105" s="101">
        <v>225429.69</v>
      </c>
      <c r="F105" s="102">
        <v>32661.7</v>
      </c>
      <c r="G105" s="102">
        <v>192767.99</v>
      </c>
      <c r="H105" s="103">
        <v>419.21999999999997</v>
      </c>
      <c r="I105" s="104">
        <f t="shared" si="1"/>
        <v>459.82536615619483</v>
      </c>
    </row>
    <row r="106" spans="1:9" x14ac:dyDescent="0.35">
      <c r="A106" s="23">
        <v>7</v>
      </c>
      <c r="B106" s="100">
        <v>508</v>
      </c>
      <c r="C106" s="17">
        <v>9</v>
      </c>
      <c r="D106" s="22" t="s">
        <v>256</v>
      </c>
      <c r="E106" s="101">
        <v>98187.71</v>
      </c>
      <c r="F106" s="102">
        <v>0</v>
      </c>
      <c r="G106" s="102">
        <v>98187.71</v>
      </c>
      <c r="H106" s="103">
        <v>48.291485223038698</v>
      </c>
      <c r="I106" s="104">
        <f t="shared" si="1"/>
        <v>2033.2302795515809</v>
      </c>
    </row>
    <row r="107" spans="1:9" x14ac:dyDescent="0.35">
      <c r="A107" s="23">
        <v>7</v>
      </c>
      <c r="B107" s="100">
        <v>510</v>
      </c>
      <c r="C107" s="17">
        <v>7</v>
      </c>
      <c r="D107" s="22" t="s">
        <v>164</v>
      </c>
      <c r="E107" s="101">
        <v>414847.06</v>
      </c>
      <c r="F107" s="102">
        <v>49771.329999999994</v>
      </c>
      <c r="G107" s="102">
        <v>365075.73</v>
      </c>
      <c r="H107" s="103">
        <v>530.77</v>
      </c>
      <c r="I107" s="104">
        <f t="shared" si="1"/>
        <v>687.82284228573576</v>
      </c>
    </row>
    <row r="108" spans="1:9" x14ac:dyDescent="0.35">
      <c r="A108" s="23">
        <v>7</v>
      </c>
      <c r="B108" s="100">
        <v>512</v>
      </c>
      <c r="C108" s="17">
        <v>9</v>
      </c>
      <c r="D108" s="22" t="s">
        <v>257</v>
      </c>
      <c r="E108" s="101">
        <v>283043.34999999998</v>
      </c>
      <c r="F108" s="102">
        <v>6960.49</v>
      </c>
      <c r="G108" s="102">
        <v>276082.86</v>
      </c>
      <c r="H108" s="103">
        <v>245.73300839515298</v>
      </c>
      <c r="I108" s="104">
        <f t="shared" si="1"/>
        <v>1123.5074270365935</v>
      </c>
    </row>
    <row r="109" spans="1:9" x14ac:dyDescent="0.35">
      <c r="A109" s="23">
        <v>7</v>
      </c>
      <c r="B109" s="100">
        <v>516</v>
      </c>
      <c r="C109" s="17">
        <v>9</v>
      </c>
      <c r="D109" s="22" t="s">
        <v>258</v>
      </c>
      <c r="E109" s="101">
        <v>153774.6</v>
      </c>
      <c r="F109" s="102">
        <v>48.06</v>
      </c>
      <c r="G109" s="102">
        <v>153726.54</v>
      </c>
      <c r="H109" s="103">
        <v>446.95477199771938</v>
      </c>
      <c r="I109" s="104">
        <f t="shared" si="1"/>
        <v>343.94204879590012</v>
      </c>
    </row>
    <row r="110" spans="1:9" x14ac:dyDescent="0.35">
      <c r="A110" s="23">
        <v>7</v>
      </c>
      <c r="B110" s="100">
        <v>521</v>
      </c>
      <c r="C110" s="17">
        <v>9</v>
      </c>
      <c r="D110" s="22" t="s">
        <v>259</v>
      </c>
      <c r="E110" s="101">
        <v>380475.79</v>
      </c>
      <c r="F110" s="102">
        <v>26.55</v>
      </c>
      <c r="G110" s="102">
        <v>380449.24</v>
      </c>
      <c r="H110" s="103">
        <v>134.01169581149534</v>
      </c>
      <c r="I110" s="104">
        <f t="shared" si="1"/>
        <v>2838.9256452298814</v>
      </c>
    </row>
    <row r="111" spans="1:9" x14ac:dyDescent="0.35">
      <c r="A111" s="23">
        <v>7</v>
      </c>
      <c r="B111" s="100">
        <v>522</v>
      </c>
      <c r="C111" s="17">
        <v>9</v>
      </c>
      <c r="D111" s="22" t="s">
        <v>260</v>
      </c>
      <c r="E111" s="101">
        <v>129914.25</v>
      </c>
      <c r="F111" s="102">
        <v>36</v>
      </c>
      <c r="G111" s="102">
        <v>129878.25</v>
      </c>
      <c r="H111" s="103">
        <v>75.639569440584623</v>
      </c>
      <c r="I111" s="104">
        <f t="shared" si="1"/>
        <v>1717.0675475885703</v>
      </c>
    </row>
    <row r="112" spans="1:9" x14ac:dyDescent="0.35">
      <c r="A112" s="23">
        <v>7</v>
      </c>
      <c r="B112" s="100">
        <v>523</v>
      </c>
      <c r="C112" s="17">
        <v>9</v>
      </c>
      <c r="D112" s="22" t="s">
        <v>261</v>
      </c>
      <c r="E112" s="101">
        <v>363457.89</v>
      </c>
      <c r="F112" s="102">
        <v>165.92</v>
      </c>
      <c r="G112" s="102">
        <v>363291.97000000003</v>
      </c>
      <c r="H112" s="103">
        <v>625.06927283115476</v>
      </c>
      <c r="I112" s="104">
        <f t="shared" si="1"/>
        <v>581.20273350588036</v>
      </c>
    </row>
    <row r="113" spans="1:9" x14ac:dyDescent="0.35">
      <c r="A113" s="23">
        <v>7</v>
      </c>
      <c r="B113" s="100">
        <v>524</v>
      </c>
      <c r="C113" s="17">
        <v>5</v>
      </c>
      <c r="D113" s="22" t="s">
        <v>75</v>
      </c>
      <c r="E113" s="101">
        <v>359695.52</v>
      </c>
      <c r="F113" s="102">
        <v>30004.35</v>
      </c>
      <c r="G113" s="102">
        <v>329691.17000000004</v>
      </c>
      <c r="H113" s="103">
        <v>516.25917988933952</v>
      </c>
      <c r="I113" s="104">
        <f t="shared" si="1"/>
        <v>638.61560790196415</v>
      </c>
    </row>
    <row r="114" spans="1:9" x14ac:dyDescent="0.35">
      <c r="A114" s="23">
        <v>7</v>
      </c>
      <c r="B114" s="100">
        <v>527</v>
      </c>
      <c r="C114" s="17">
        <v>9</v>
      </c>
      <c r="D114" s="22" t="s">
        <v>262</v>
      </c>
      <c r="E114" s="101">
        <v>135350.22</v>
      </c>
      <c r="F114" s="102">
        <v>0</v>
      </c>
      <c r="G114" s="102">
        <v>135350.22</v>
      </c>
      <c r="H114" s="103">
        <v>154.99854785641858</v>
      </c>
      <c r="I114" s="104">
        <f t="shared" si="1"/>
        <v>873.23540685929765</v>
      </c>
    </row>
    <row r="115" spans="1:9" x14ac:dyDescent="0.35">
      <c r="A115" s="23">
        <v>7</v>
      </c>
      <c r="B115" s="100">
        <v>531</v>
      </c>
      <c r="C115" s="17">
        <v>7</v>
      </c>
      <c r="D115" s="22" t="s">
        <v>165</v>
      </c>
      <c r="E115" s="101">
        <v>626860.81000000006</v>
      </c>
      <c r="F115" s="102">
        <v>4289.12</v>
      </c>
      <c r="G115" s="102">
        <v>622571.69000000006</v>
      </c>
      <c r="H115" s="103">
        <v>1846.9199999999998</v>
      </c>
      <c r="I115" s="104">
        <f t="shared" si="1"/>
        <v>337.08644121023116</v>
      </c>
    </row>
    <row r="116" spans="1:9" x14ac:dyDescent="0.35">
      <c r="A116" s="23">
        <v>7</v>
      </c>
      <c r="B116" s="100">
        <v>537</v>
      </c>
      <c r="C116" s="17">
        <v>8</v>
      </c>
      <c r="D116" s="22" t="s">
        <v>201</v>
      </c>
      <c r="E116" s="101">
        <v>9233.09</v>
      </c>
      <c r="F116" s="102">
        <v>0</v>
      </c>
      <c r="G116" s="102">
        <v>9233.09</v>
      </c>
      <c r="H116" s="103">
        <v>11.850041107387474</v>
      </c>
      <c r="I116" s="104">
        <f t="shared" si="1"/>
        <v>779.16101018788606</v>
      </c>
    </row>
    <row r="117" spans="1:9" x14ac:dyDescent="0.35">
      <c r="A117" s="23">
        <v>7</v>
      </c>
      <c r="B117" s="100">
        <v>543</v>
      </c>
      <c r="C117" s="17">
        <v>9</v>
      </c>
      <c r="D117" s="22" t="s">
        <v>263</v>
      </c>
      <c r="E117" s="101">
        <v>86208</v>
      </c>
      <c r="F117" s="102">
        <v>0</v>
      </c>
      <c r="G117" s="102">
        <v>86208</v>
      </c>
      <c r="H117" s="103">
        <v>79.411119663150544</v>
      </c>
      <c r="I117" s="104">
        <f t="shared" si="1"/>
        <v>1085.5910402180546</v>
      </c>
    </row>
    <row r="118" spans="1:9" x14ac:dyDescent="0.35">
      <c r="A118" s="23">
        <v>7</v>
      </c>
      <c r="B118" s="100">
        <v>545</v>
      </c>
      <c r="C118" s="17">
        <v>8</v>
      </c>
      <c r="D118" s="22" t="s">
        <v>202</v>
      </c>
      <c r="E118" s="101">
        <v>8210.99</v>
      </c>
      <c r="F118" s="102">
        <v>0</v>
      </c>
      <c r="G118" s="102">
        <v>8210.99</v>
      </c>
      <c r="H118" s="103">
        <v>15.78141752115139</v>
      </c>
      <c r="I118" s="104">
        <f t="shared" si="1"/>
        <v>520.29483340105799</v>
      </c>
    </row>
    <row r="119" spans="1:9" x14ac:dyDescent="0.35">
      <c r="A119" s="23">
        <v>7</v>
      </c>
      <c r="B119" s="100">
        <v>547</v>
      </c>
      <c r="C119" s="17">
        <v>9</v>
      </c>
      <c r="D119" s="22" t="s">
        <v>264</v>
      </c>
      <c r="E119" s="101">
        <v>176613.82</v>
      </c>
      <c r="F119" s="102">
        <v>0</v>
      </c>
      <c r="G119" s="102">
        <v>176613.82</v>
      </c>
      <c r="H119" s="103">
        <v>220.23593845734564</v>
      </c>
      <c r="I119" s="104">
        <f t="shared" si="1"/>
        <v>801.93006299108549</v>
      </c>
    </row>
    <row r="120" spans="1:9" x14ac:dyDescent="0.35">
      <c r="A120" s="23">
        <v>7</v>
      </c>
      <c r="B120" s="100">
        <v>550</v>
      </c>
      <c r="C120" s="17">
        <v>7</v>
      </c>
      <c r="D120" s="22" t="s">
        <v>166</v>
      </c>
      <c r="E120" s="101">
        <v>465069.58</v>
      </c>
      <c r="F120" s="102">
        <v>799.83</v>
      </c>
      <c r="G120" s="102">
        <v>464269.75</v>
      </c>
      <c r="H120" s="103">
        <v>299.51</v>
      </c>
      <c r="I120" s="104">
        <f t="shared" si="1"/>
        <v>1550.097659510534</v>
      </c>
    </row>
    <row r="121" spans="1:9" x14ac:dyDescent="0.35">
      <c r="A121" s="23">
        <v>7</v>
      </c>
      <c r="B121" s="100">
        <v>551</v>
      </c>
      <c r="C121" s="17">
        <v>7</v>
      </c>
      <c r="D121" s="22" t="s">
        <v>167</v>
      </c>
      <c r="E121" s="101">
        <v>198834.28</v>
      </c>
      <c r="F121" s="102">
        <v>0</v>
      </c>
      <c r="G121" s="102">
        <v>198834.28</v>
      </c>
      <c r="H121" s="103">
        <v>168.57265257450149</v>
      </c>
      <c r="I121" s="104">
        <f t="shared" si="1"/>
        <v>1179.5168253173465</v>
      </c>
    </row>
    <row r="122" spans="1:9" x14ac:dyDescent="0.35">
      <c r="A122" s="23">
        <v>7</v>
      </c>
      <c r="B122" s="100">
        <v>552</v>
      </c>
      <c r="C122" s="17">
        <v>9</v>
      </c>
      <c r="D122" s="22" t="s">
        <v>265</v>
      </c>
      <c r="E122" s="101">
        <v>157444.06</v>
      </c>
      <c r="F122" s="102">
        <v>0</v>
      </c>
      <c r="G122" s="102">
        <v>157444.06</v>
      </c>
      <c r="H122" s="103">
        <v>135.19999999999999</v>
      </c>
      <c r="I122" s="104">
        <f t="shared" si="1"/>
        <v>1164.5270710059172</v>
      </c>
    </row>
    <row r="123" spans="1:9" x14ac:dyDescent="0.35">
      <c r="A123" s="23">
        <v>7</v>
      </c>
      <c r="B123" s="100">
        <v>555</v>
      </c>
      <c r="C123" s="17">
        <v>7</v>
      </c>
      <c r="D123" s="22" t="s">
        <v>168</v>
      </c>
      <c r="E123" s="101">
        <v>581748.55000000005</v>
      </c>
      <c r="F123" s="102">
        <v>331.81</v>
      </c>
      <c r="G123" s="102">
        <v>581416.74</v>
      </c>
      <c r="H123" s="103">
        <v>681.19804882222115</v>
      </c>
      <c r="I123" s="104">
        <f t="shared" si="1"/>
        <v>853.52085345114949</v>
      </c>
    </row>
    <row r="124" spans="1:9" x14ac:dyDescent="0.35">
      <c r="A124" s="23">
        <v>7</v>
      </c>
      <c r="B124" s="100">
        <v>556</v>
      </c>
      <c r="C124" s="17">
        <v>7</v>
      </c>
      <c r="D124" s="22" t="s">
        <v>169</v>
      </c>
      <c r="E124" s="101">
        <v>333135.69</v>
      </c>
      <c r="F124" s="102">
        <v>417.72</v>
      </c>
      <c r="G124" s="102">
        <v>332717.97000000003</v>
      </c>
      <c r="H124" s="103">
        <v>419.35467175147664</v>
      </c>
      <c r="I124" s="104">
        <f t="shared" si="1"/>
        <v>793.40470587908374</v>
      </c>
    </row>
    <row r="125" spans="1:9" x14ac:dyDescent="0.35">
      <c r="A125" s="23">
        <v>7</v>
      </c>
      <c r="B125" s="100">
        <v>558</v>
      </c>
      <c r="C125" s="17">
        <v>7</v>
      </c>
      <c r="D125" s="22" t="s">
        <v>170</v>
      </c>
      <c r="E125" s="101">
        <v>565658.16</v>
      </c>
      <c r="F125" s="102">
        <v>0</v>
      </c>
      <c r="G125" s="102">
        <v>565658.16</v>
      </c>
      <c r="H125" s="103">
        <v>408.1663869390668</v>
      </c>
      <c r="I125" s="104">
        <f t="shared" si="1"/>
        <v>1385.8518930037333</v>
      </c>
    </row>
    <row r="126" spans="1:9" x14ac:dyDescent="0.35">
      <c r="A126" s="23">
        <v>7</v>
      </c>
      <c r="B126" s="100">
        <v>562</v>
      </c>
      <c r="C126" s="17">
        <v>6</v>
      </c>
      <c r="D126" s="22" t="s">
        <v>90</v>
      </c>
      <c r="E126" s="101">
        <v>46703.15</v>
      </c>
      <c r="F126" s="102">
        <v>0</v>
      </c>
      <c r="G126" s="102">
        <v>46703.15</v>
      </c>
      <c r="H126" s="103">
        <v>87.049812395029448</v>
      </c>
      <c r="I126" s="104">
        <f t="shared" si="1"/>
        <v>536.51063356762336</v>
      </c>
    </row>
    <row r="127" spans="1:9" x14ac:dyDescent="0.35">
      <c r="A127" s="23">
        <v>7</v>
      </c>
      <c r="B127" s="100">
        <v>565</v>
      </c>
      <c r="C127" s="17">
        <v>5</v>
      </c>
      <c r="D127" s="22" t="s">
        <v>76</v>
      </c>
      <c r="E127" s="101">
        <v>360070.01</v>
      </c>
      <c r="F127" s="102">
        <v>560</v>
      </c>
      <c r="G127" s="102">
        <v>359510.01</v>
      </c>
      <c r="H127" s="103">
        <v>489.79749687617544</v>
      </c>
      <c r="I127" s="104">
        <f t="shared" si="1"/>
        <v>733.99723823187867</v>
      </c>
    </row>
    <row r="128" spans="1:9" x14ac:dyDescent="0.35">
      <c r="A128" s="23">
        <v>7</v>
      </c>
      <c r="B128" s="100">
        <v>567</v>
      </c>
      <c r="C128" s="17">
        <v>9</v>
      </c>
      <c r="D128" s="22" t="s">
        <v>266</v>
      </c>
      <c r="E128" s="101">
        <v>240841.36</v>
      </c>
      <c r="F128" s="102">
        <v>0</v>
      </c>
      <c r="G128" s="102">
        <v>240841.36</v>
      </c>
      <c r="H128" s="103">
        <v>384.31575355473518</v>
      </c>
      <c r="I128" s="104">
        <f t="shared" si="1"/>
        <v>626.67574194482972</v>
      </c>
    </row>
    <row r="129" spans="1:9" x14ac:dyDescent="0.35">
      <c r="A129" s="23">
        <v>7</v>
      </c>
      <c r="B129" s="100">
        <v>600</v>
      </c>
      <c r="C129" s="17">
        <v>7</v>
      </c>
      <c r="D129" s="22" t="s">
        <v>171</v>
      </c>
      <c r="E129" s="101">
        <v>327027.7</v>
      </c>
      <c r="F129" s="102">
        <v>0</v>
      </c>
      <c r="G129" s="102">
        <v>327027.7</v>
      </c>
      <c r="H129" s="103">
        <v>704.76</v>
      </c>
      <c r="I129" s="104">
        <f t="shared" si="1"/>
        <v>464.0270446676883</v>
      </c>
    </row>
    <row r="130" spans="1:9" x14ac:dyDescent="0.35">
      <c r="A130" s="23">
        <v>7</v>
      </c>
      <c r="B130" s="100">
        <v>601</v>
      </c>
      <c r="C130" s="17">
        <v>4</v>
      </c>
      <c r="D130" s="22" t="s">
        <v>61</v>
      </c>
      <c r="E130" s="101">
        <v>3069965.81</v>
      </c>
      <c r="F130" s="102">
        <v>226301.41999999998</v>
      </c>
      <c r="G130" s="102">
        <v>2843664.39</v>
      </c>
      <c r="H130" s="103">
        <v>5313.41</v>
      </c>
      <c r="I130" s="104">
        <f t="shared" si="1"/>
        <v>535.18632855360306</v>
      </c>
    </row>
    <row r="131" spans="1:9" x14ac:dyDescent="0.35">
      <c r="A131" s="23">
        <v>7</v>
      </c>
      <c r="B131" s="100">
        <v>603</v>
      </c>
      <c r="C131" s="17">
        <v>6</v>
      </c>
      <c r="D131" s="22" t="s">
        <v>91</v>
      </c>
      <c r="E131" s="101">
        <v>87352.79</v>
      </c>
      <c r="F131" s="102">
        <v>0</v>
      </c>
      <c r="G131" s="102">
        <v>87352.79</v>
      </c>
      <c r="H131" s="103">
        <v>104.05602741883</v>
      </c>
      <c r="I131" s="104">
        <f t="shared" si="1"/>
        <v>839.47842491046913</v>
      </c>
    </row>
    <row r="132" spans="1:9" x14ac:dyDescent="0.35">
      <c r="A132" s="23">
        <v>7</v>
      </c>
      <c r="B132" s="100">
        <v>604</v>
      </c>
      <c r="C132" s="17">
        <v>7</v>
      </c>
      <c r="D132" s="22" t="s">
        <v>172</v>
      </c>
      <c r="E132" s="101">
        <v>221760.71</v>
      </c>
      <c r="F132" s="102">
        <v>440</v>
      </c>
      <c r="G132" s="102">
        <v>221320.71</v>
      </c>
      <c r="H132" s="103">
        <v>546.2846059247853</v>
      </c>
      <c r="I132" s="104">
        <f t="shared" si="1"/>
        <v>405.13810493585891</v>
      </c>
    </row>
    <row r="133" spans="1:9" x14ac:dyDescent="0.35">
      <c r="A133" s="23">
        <v>7</v>
      </c>
      <c r="B133" s="100">
        <v>605</v>
      </c>
      <c r="C133" s="17">
        <v>8</v>
      </c>
      <c r="D133" s="22" t="s">
        <v>203</v>
      </c>
      <c r="E133" s="101">
        <v>9297.0300000000007</v>
      </c>
      <c r="F133" s="102">
        <v>0</v>
      </c>
      <c r="G133" s="102">
        <v>9297.0300000000007</v>
      </c>
      <c r="H133" s="103">
        <v>11.644019787426455</v>
      </c>
      <c r="I133" s="104">
        <f t="shared" ref="I133:I196" si="2">IFERROR(G133/H133,0)</f>
        <v>798.43818283778592</v>
      </c>
    </row>
    <row r="134" spans="1:9" x14ac:dyDescent="0.35">
      <c r="A134" s="23">
        <v>7</v>
      </c>
      <c r="B134" s="100">
        <v>607</v>
      </c>
      <c r="C134" s="17">
        <v>8</v>
      </c>
      <c r="D134" s="22" t="s">
        <v>204</v>
      </c>
      <c r="E134" s="101">
        <v>13913.45</v>
      </c>
      <c r="F134" s="102">
        <v>0</v>
      </c>
      <c r="G134" s="102">
        <v>13913.45</v>
      </c>
      <c r="H134" s="103">
        <v>17.473660100397499</v>
      </c>
      <c r="I134" s="104">
        <f t="shared" si="2"/>
        <v>796.25275529329372</v>
      </c>
    </row>
    <row r="135" spans="1:9" x14ac:dyDescent="0.35">
      <c r="A135" s="23">
        <v>7</v>
      </c>
      <c r="B135" s="100">
        <v>610</v>
      </c>
      <c r="C135" s="17">
        <v>8</v>
      </c>
      <c r="D135" s="22" t="s">
        <v>205</v>
      </c>
      <c r="E135" s="101">
        <v>39795.599999999999</v>
      </c>
      <c r="F135" s="102">
        <v>0</v>
      </c>
      <c r="G135" s="102">
        <v>39795.599999999999</v>
      </c>
      <c r="H135" s="103">
        <v>75.19636883839371</v>
      </c>
      <c r="I135" s="104">
        <f t="shared" si="2"/>
        <v>529.22236292454045</v>
      </c>
    </row>
    <row r="136" spans="1:9" x14ac:dyDescent="0.35">
      <c r="A136" s="23">
        <v>7</v>
      </c>
      <c r="B136" s="100">
        <v>611</v>
      </c>
      <c r="C136" s="17">
        <v>8</v>
      </c>
      <c r="D136" s="22" t="s">
        <v>206</v>
      </c>
      <c r="E136" s="101">
        <v>23816.77</v>
      </c>
      <c r="F136" s="102">
        <v>0</v>
      </c>
      <c r="G136" s="102">
        <v>23816.77</v>
      </c>
      <c r="H136" s="103">
        <v>13.408990768247023</v>
      </c>
      <c r="I136" s="104">
        <f t="shared" si="2"/>
        <v>1776.1791630432751</v>
      </c>
    </row>
    <row r="137" spans="1:9" x14ac:dyDescent="0.35">
      <c r="A137" s="23">
        <v>7</v>
      </c>
      <c r="B137" s="100">
        <v>612</v>
      </c>
      <c r="C137" s="17">
        <v>7</v>
      </c>
      <c r="D137" s="22" t="s">
        <v>173</v>
      </c>
      <c r="E137" s="101">
        <v>335060.58</v>
      </c>
      <c r="F137" s="102">
        <v>6380.83</v>
      </c>
      <c r="G137" s="102">
        <v>328679.75</v>
      </c>
      <c r="H137" s="103">
        <v>465.08168418311266</v>
      </c>
      <c r="I137" s="104">
        <f t="shared" si="2"/>
        <v>706.714027187086</v>
      </c>
    </row>
    <row r="138" spans="1:9" x14ac:dyDescent="0.35">
      <c r="A138" s="23">
        <v>7</v>
      </c>
      <c r="B138" s="100">
        <v>613</v>
      </c>
      <c r="C138" s="17">
        <v>5</v>
      </c>
      <c r="D138" s="22" t="s">
        <v>77</v>
      </c>
      <c r="E138" s="101">
        <v>118450.49</v>
      </c>
      <c r="F138" s="102">
        <v>0</v>
      </c>
      <c r="G138" s="102">
        <v>118450.49</v>
      </c>
      <c r="H138" s="103">
        <v>152.25244216441209</v>
      </c>
      <c r="I138" s="104">
        <f t="shared" si="2"/>
        <v>777.98745501953567</v>
      </c>
    </row>
    <row r="139" spans="1:9" x14ac:dyDescent="0.35">
      <c r="A139" s="23">
        <v>7</v>
      </c>
      <c r="B139" s="100">
        <v>616</v>
      </c>
      <c r="C139" s="17">
        <v>8</v>
      </c>
      <c r="D139" s="22" t="s">
        <v>207</v>
      </c>
      <c r="E139" s="101">
        <v>223457.03</v>
      </c>
      <c r="F139" s="102">
        <v>0</v>
      </c>
      <c r="G139" s="102">
        <v>223457.03</v>
      </c>
      <c r="H139" s="103">
        <v>180.31</v>
      </c>
      <c r="I139" s="104">
        <f t="shared" si="2"/>
        <v>1239.2936054572681</v>
      </c>
    </row>
    <row r="140" spans="1:9" x14ac:dyDescent="0.35">
      <c r="A140" s="23">
        <v>7</v>
      </c>
      <c r="B140" s="100">
        <v>618</v>
      </c>
      <c r="C140" s="17">
        <v>6</v>
      </c>
      <c r="D140" s="22" t="s">
        <v>92</v>
      </c>
      <c r="E140" s="101">
        <v>17634.439999999999</v>
      </c>
      <c r="F140" s="102">
        <v>0</v>
      </c>
      <c r="G140" s="102">
        <v>17634.439999999999</v>
      </c>
      <c r="H140" s="103">
        <v>19.804983772414104</v>
      </c>
      <c r="I140" s="104">
        <f t="shared" si="2"/>
        <v>890.40416304519249</v>
      </c>
    </row>
    <row r="141" spans="1:9" x14ac:dyDescent="0.35">
      <c r="A141" s="23">
        <v>7</v>
      </c>
      <c r="B141" s="100">
        <v>620</v>
      </c>
      <c r="C141" s="17">
        <v>6</v>
      </c>
      <c r="D141" s="22" t="s">
        <v>93</v>
      </c>
      <c r="E141" s="101">
        <v>127287.86</v>
      </c>
      <c r="F141" s="102">
        <v>0</v>
      </c>
      <c r="G141" s="102">
        <v>127287.86</v>
      </c>
      <c r="H141" s="103">
        <v>210.58980770377843</v>
      </c>
      <c r="I141" s="104">
        <f t="shared" si="2"/>
        <v>604.43504549397142</v>
      </c>
    </row>
    <row r="142" spans="1:9" x14ac:dyDescent="0.35">
      <c r="A142" s="23">
        <v>7</v>
      </c>
      <c r="B142" s="100">
        <v>622</v>
      </c>
      <c r="C142" s="17">
        <v>6</v>
      </c>
      <c r="D142" s="22" t="s">
        <v>94</v>
      </c>
      <c r="E142" s="101">
        <v>106405.48</v>
      </c>
      <c r="F142" s="102">
        <v>192</v>
      </c>
      <c r="G142" s="102">
        <v>106213.48</v>
      </c>
      <c r="H142" s="103">
        <v>107.7325071639393</v>
      </c>
      <c r="I142" s="104">
        <f t="shared" si="2"/>
        <v>985.90001101870052</v>
      </c>
    </row>
    <row r="143" spans="1:9" x14ac:dyDescent="0.35">
      <c r="A143" s="23">
        <v>7</v>
      </c>
      <c r="B143" s="100">
        <v>623</v>
      </c>
      <c r="C143" s="17">
        <v>6</v>
      </c>
      <c r="D143" s="22" t="s">
        <v>95</v>
      </c>
      <c r="E143" s="101">
        <v>81786.11</v>
      </c>
      <c r="F143" s="102">
        <v>0</v>
      </c>
      <c r="G143" s="102">
        <v>81786.11</v>
      </c>
      <c r="H143" s="103">
        <v>250.8949918794944</v>
      </c>
      <c r="I143" s="104">
        <f t="shared" si="2"/>
        <v>325.97745131270739</v>
      </c>
    </row>
    <row r="144" spans="1:9" x14ac:dyDescent="0.35">
      <c r="A144" s="23">
        <v>7</v>
      </c>
      <c r="B144" s="100">
        <v>626</v>
      </c>
      <c r="C144" s="17">
        <v>6</v>
      </c>
      <c r="D144" s="22" t="s">
        <v>96</v>
      </c>
      <c r="E144" s="101">
        <v>18629.490000000002</v>
      </c>
      <c r="F144" s="102">
        <v>0</v>
      </c>
      <c r="G144" s="102">
        <v>18629.490000000002</v>
      </c>
      <c r="H144" s="103">
        <v>23.941522726196077</v>
      </c>
      <c r="I144" s="104">
        <f t="shared" si="2"/>
        <v>778.12469211142479</v>
      </c>
    </row>
    <row r="145" spans="1:9" x14ac:dyDescent="0.35">
      <c r="A145" s="23">
        <v>7</v>
      </c>
      <c r="B145" s="100">
        <v>627</v>
      </c>
      <c r="C145" s="17">
        <v>6</v>
      </c>
      <c r="D145" s="22" t="s">
        <v>97</v>
      </c>
      <c r="E145" s="101">
        <v>77264.61</v>
      </c>
      <c r="F145" s="102">
        <v>0</v>
      </c>
      <c r="G145" s="102">
        <v>77264.61</v>
      </c>
      <c r="H145" s="103">
        <v>160.83836755587552</v>
      </c>
      <c r="I145" s="104">
        <f t="shared" si="2"/>
        <v>480.38668368825705</v>
      </c>
    </row>
    <row r="146" spans="1:9" x14ac:dyDescent="0.35">
      <c r="A146" s="23">
        <v>7</v>
      </c>
      <c r="B146" s="100">
        <v>629</v>
      </c>
      <c r="C146" s="17">
        <v>9</v>
      </c>
      <c r="D146" s="22" t="s">
        <v>267</v>
      </c>
      <c r="E146" s="101">
        <v>198603.87</v>
      </c>
      <c r="F146" s="102">
        <v>20431</v>
      </c>
      <c r="G146" s="102">
        <v>178172.87</v>
      </c>
      <c r="H146" s="103">
        <v>194.76</v>
      </c>
      <c r="I146" s="104">
        <f t="shared" si="2"/>
        <v>914.83297391661529</v>
      </c>
    </row>
    <row r="147" spans="1:9" x14ac:dyDescent="0.35">
      <c r="A147" s="23">
        <v>7</v>
      </c>
      <c r="B147" s="100">
        <v>630</v>
      </c>
      <c r="C147" s="17">
        <v>9</v>
      </c>
      <c r="D147" s="22" t="s">
        <v>268</v>
      </c>
      <c r="E147" s="101">
        <v>287696.51</v>
      </c>
      <c r="F147" s="102">
        <v>4655.1900000000005</v>
      </c>
      <c r="G147" s="102">
        <v>283041.32</v>
      </c>
      <c r="H147" s="103">
        <v>127.48534968903685</v>
      </c>
      <c r="I147" s="104">
        <f t="shared" si="2"/>
        <v>2220.1870308266507</v>
      </c>
    </row>
    <row r="148" spans="1:9" x14ac:dyDescent="0.35">
      <c r="A148" s="23">
        <v>7</v>
      </c>
      <c r="B148" s="100">
        <v>634</v>
      </c>
      <c r="C148" s="17">
        <v>6</v>
      </c>
      <c r="D148" s="22" t="s">
        <v>98</v>
      </c>
      <c r="E148" s="101">
        <v>644745.41</v>
      </c>
      <c r="F148" s="102">
        <v>0</v>
      </c>
      <c r="G148" s="102">
        <v>644745.41</v>
      </c>
      <c r="H148" s="103">
        <v>739.57838656376748</v>
      </c>
      <c r="I148" s="104">
        <f t="shared" si="2"/>
        <v>871.77427263067966</v>
      </c>
    </row>
    <row r="149" spans="1:9" x14ac:dyDescent="0.35">
      <c r="A149" s="23">
        <v>7</v>
      </c>
      <c r="B149" s="100">
        <v>635</v>
      </c>
      <c r="C149" s="17">
        <v>7</v>
      </c>
      <c r="D149" s="22" t="s">
        <v>174</v>
      </c>
      <c r="E149" s="101">
        <v>38441.699999999997</v>
      </c>
      <c r="F149" s="102">
        <v>0</v>
      </c>
      <c r="G149" s="102">
        <v>38441.699999999997</v>
      </c>
      <c r="H149" s="103">
        <v>57.509999999999991</v>
      </c>
      <c r="I149" s="104">
        <f t="shared" si="2"/>
        <v>668.43505477308304</v>
      </c>
    </row>
    <row r="150" spans="1:9" x14ac:dyDescent="0.35">
      <c r="A150" s="23">
        <v>7</v>
      </c>
      <c r="B150" s="100">
        <v>636</v>
      </c>
      <c r="C150" s="17">
        <v>6</v>
      </c>
      <c r="D150" s="22" t="s">
        <v>99</v>
      </c>
      <c r="E150" s="101">
        <v>81915.839999999997</v>
      </c>
      <c r="F150" s="102">
        <v>76680</v>
      </c>
      <c r="G150" s="102">
        <v>5235.8399999999965</v>
      </c>
      <c r="H150" s="103">
        <v>52.010894198288028</v>
      </c>
      <c r="I150" s="104">
        <f t="shared" si="2"/>
        <v>100.66814040994392</v>
      </c>
    </row>
    <row r="151" spans="1:9" x14ac:dyDescent="0.35">
      <c r="A151" s="23">
        <v>7</v>
      </c>
      <c r="B151" s="100">
        <v>637</v>
      </c>
      <c r="C151" s="17">
        <v>8</v>
      </c>
      <c r="D151" s="22" t="s">
        <v>296</v>
      </c>
      <c r="E151" s="101">
        <v>24131.66</v>
      </c>
      <c r="F151" s="102">
        <v>0</v>
      </c>
      <c r="G151" s="102">
        <v>24131.66</v>
      </c>
      <c r="H151" s="103">
        <v>15.33</v>
      </c>
      <c r="I151" s="104">
        <f t="shared" si="2"/>
        <v>1574.1461187214611</v>
      </c>
    </row>
    <row r="152" spans="1:9" x14ac:dyDescent="0.35">
      <c r="A152" s="23">
        <v>7</v>
      </c>
      <c r="B152" s="100">
        <v>638</v>
      </c>
      <c r="C152" s="17">
        <v>8</v>
      </c>
      <c r="D152" s="22" t="s">
        <v>208</v>
      </c>
      <c r="E152" s="101">
        <v>17396.490000000002</v>
      </c>
      <c r="F152" s="102">
        <v>0</v>
      </c>
      <c r="G152" s="102">
        <v>17396.490000000002</v>
      </c>
      <c r="H152" s="103">
        <v>11.437998467465437</v>
      </c>
      <c r="I152" s="104">
        <f t="shared" si="2"/>
        <v>1520.9383048514183</v>
      </c>
    </row>
    <row r="153" spans="1:9" x14ac:dyDescent="0.35">
      <c r="A153" s="23">
        <v>7</v>
      </c>
      <c r="B153" s="100">
        <v>641</v>
      </c>
      <c r="C153" s="17">
        <v>6</v>
      </c>
      <c r="D153" s="22" t="s">
        <v>100</v>
      </c>
      <c r="E153" s="101">
        <v>34364.78</v>
      </c>
      <c r="F153" s="102">
        <v>0</v>
      </c>
      <c r="G153" s="102">
        <v>34364.78</v>
      </c>
      <c r="H153" s="103">
        <v>8.0818933340698198</v>
      </c>
      <c r="I153" s="104">
        <f t="shared" si="2"/>
        <v>4252.0704715481361</v>
      </c>
    </row>
    <row r="154" spans="1:9" x14ac:dyDescent="0.35">
      <c r="A154" s="23">
        <v>7</v>
      </c>
      <c r="B154" s="100">
        <v>642</v>
      </c>
      <c r="C154" s="17">
        <v>7</v>
      </c>
      <c r="D154" s="22" t="s">
        <v>175</v>
      </c>
      <c r="E154" s="101">
        <v>77168.75</v>
      </c>
      <c r="F154" s="102">
        <v>0</v>
      </c>
      <c r="G154" s="102">
        <v>77168.75</v>
      </c>
      <c r="H154" s="103">
        <v>110.85473097754361</v>
      </c>
      <c r="I154" s="104">
        <f t="shared" si="2"/>
        <v>696.12500359260673</v>
      </c>
    </row>
    <row r="155" spans="1:9" x14ac:dyDescent="0.35">
      <c r="A155" s="23">
        <v>7</v>
      </c>
      <c r="B155" s="100">
        <v>643</v>
      </c>
      <c r="C155" s="17">
        <v>7</v>
      </c>
      <c r="D155" s="22" t="s">
        <v>176</v>
      </c>
      <c r="E155" s="101">
        <v>26111.29</v>
      </c>
      <c r="F155" s="102">
        <v>0</v>
      </c>
      <c r="G155" s="102">
        <v>26111.29</v>
      </c>
      <c r="H155" s="103">
        <v>6.900025061560684</v>
      </c>
      <c r="I155" s="104">
        <f t="shared" si="2"/>
        <v>3784.2311827913873</v>
      </c>
    </row>
    <row r="156" spans="1:9" x14ac:dyDescent="0.35">
      <c r="A156" s="23">
        <v>7</v>
      </c>
      <c r="B156" s="100">
        <v>644</v>
      </c>
      <c r="C156" s="17">
        <v>6</v>
      </c>
      <c r="D156" s="22" t="s">
        <v>101</v>
      </c>
      <c r="E156" s="101">
        <v>44753.64</v>
      </c>
      <c r="F156" s="102">
        <v>0</v>
      </c>
      <c r="G156" s="102">
        <v>44753.64</v>
      </c>
      <c r="H156" s="103">
        <v>4.7100926742643461</v>
      </c>
      <c r="I156" s="104">
        <f t="shared" si="2"/>
        <v>9501.6474398754635</v>
      </c>
    </row>
    <row r="157" spans="1:9" x14ac:dyDescent="0.35">
      <c r="A157" s="23">
        <v>7</v>
      </c>
      <c r="B157" s="100">
        <v>645</v>
      </c>
      <c r="C157" s="17">
        <v>8</v>
      </c>
      <c r="D157" s="22" t="s">
        <v>210</v>
      </c>
      <c r="E157" s="101">
        <v>8931.35</v>
      </c>
      <c r="F157" s="102">
        <v>0</v>
      </c>
      <c r="G157" s="102">
        <v>8931.35</v>
      </c>
      <c r="H157" s="103">
        <v>9.713523715199134</v>
      </c>
      <c r="I157" s="104">
        <f t="shared" si="2"/>
        <v>919.4758011477096</v>
      </c>
    </row>
    <row r="158" spans="1:9" x14ac:dyDescent="0.35">
      <c r="A158" s="23">
        <v>7</v>
      </c>
      <c r="B158" s="100">
        <v>694</v>
      </c>
      <c r="C158" s="17">
        <v>6</v>
      </c>
      <c r="D158" s="22" t="s">
        <v>103</v>
      </c>
      <c r="E158" s="101">
        <v>45782.7</v>
      </c>
      <c r="F158" s="102">
        <v>0</v>
      </c>
      <c r="G158" s="102">
        <v>45782.7</v>
      </c>
      <c r="H158" s="103">
        <v>19.03</v>
      </c>
      <c r="I158" s="104">
        <f t="shared" si="2"/>
        <v>2405.8171308460323</v>
      </c>
    </row>
    <row r="159" spans="1:9" x14ac:dyDescent="0.35">
      <c r="A159" s="23">
        <v>7</v>
      </c>
      <c r="B159" s="100">
        <v>696</v>
      </c>
      <c r="C159" s="17">
        <v>5</v>
      </c>
      <c r="D159" s="22" t="s">
        <v>78</v>
      </c>
      <c r="E159" s="101">
        <v>117674.26</v>
      </c>
      <c r="F159" s="102">
        <v>129</v>
      </c>
      <c r="G159" s="102">
        <v>117545.26</v>
      </c>
      <c r="H159" s="103">
        <v>292.79000000000002</v>
      </c>
      <c r="I159" s="104">
        <f t="shared" si="2"/>
        <v>401.46610198435735</v>
      </c>
    </row>
    <row r="160" spans="1:9" x14ac:dyDescent="0.35">
      <c r="A160" s="23">
        <v>7</v>
      </c>
      <c r="B160" s="100">
        <v>706</v>
      </c>
      <c r="C160" s="17">
        <v>6</v>
      </c>
      <c r="D160" s="22" t="s">
        <v>104</v>
      </c>
      <c r="E160" s="101">
        <v>63054.879999999997</v>
      </c>
      <c r="F160" s="102">
        <v>0</v>
      </c>
      <c r="G160" s="102">
        <v>63054.879999999997</v>
      </c>
      <c r="H160" s="103">
        <v>50.910157288145029</v>
      </c>
      <c r="I160" s="104">
        <f t="shared" si="2"/>
        <v>1238.5520563827249</v>
      </c>
    </row>
    <row r="161" spans="1:9" x14ac:dyDescent="0.35">
      <c r="A161" s="23">
        <v>7</v>
      </c>
      <c r="B161" s="100">
        <v>709</v>
      </c>
      <c r="C161" s="17">
        <v>8</v>
      </c>
      <c r="D161" s="22" t="s">
        <v>297</v>
      </c>
      <c r="E161" s="101">
        <v>54476.53</v>
      </c>
      <c r="F161" s="102">
        <v>0</v>
      </c>
      <c r="G161" s="102">
        <v>54476.53</v>
      </c>
      <c r="H161" s="103">
        <v>70.12997764079941</v>
      </c>
      <c r="I161" s="104">
        <f t="shared" si="2"/>
        <v>776.7937739695966</v>
      </c>
    </row>
    <row r="162" spans="1:9" x14ac:dyDescent="0.35">
      <c r="A162" s="23">
        <v>7</v>
      </c>
      <c r="B162" s="100">
        <v>710</v>
      </c>
      <c r="C162" s="17">
        <v>6</v>
      </c>
      <c r="D162" s="22" t="s">
        <v>105</v>
      </c>
      <c r="E162" s="101">
        <v>75931.14</v>
      </c>
      <c r="F162" s="102">
        <v>0</v>
      </c>
      <c r="G162" s="102">
        <v>75931.14</v>
      </c>
      <c r="H162" s="103">
        <v>72.740000000000009</v>
      </c>
      <c r="I162" s="104">
        <f t="shared" si="2"/>
        <v>1043.8704976629087</v>
      </c>
    </row>
    <row r="163" spans="1:9" x14ac:dyDescent="0.35">
      <c r="A163" s="23">
        <v>7</v>
      </c>
      <c r="B163" s="100">
        <v>711</v>
      </c>
      <c r="C163" s="17">
        <v>7</v>
      </c>
      <c r="D163" s="22" t="s">
        <v>177</v>
      </c>
      <c r="E163" s="101">
        <v>236844.49</v>
      </c>
      <c r="F163" s="102">
        <v>12751.15</v>
      </c>
      <c r="G163" s="102">
        <v>224093.34</v>
      </c>
      <c r="H163" s="103">
        <v>446.28</v>
      </c>
      <c r="I163" s="104">
        <f t="shared" si="2"/>
        <v>502.13619252487229</v>
      </c>
    </row>
    <row r="164" spans="1:9" x14ac:dyDescent="0.35">
      <c r="A164" s="23">
        <v>7</v>
      </c>
      <c r="B164" s="100">
        <v>712</v>
      </c>
      <c r="C164" s="17">
        <v>7</v>
      </c>
      <c r="D164" s="22" t="s">
        <v>178</v>
      </c>
      <c r="E164" s="101">
        <v>381628.54</v>
      </c>
      <c r="F164" s="102">
        <v>0</v>
      </c>
      <c r="G164" s="102">
        <v>381628.54</v>
      </c>
      <c r="H164" s="103">
        <v>802.26999999999987</v>
      </c>
      <c r="I164" s="104">
        <f t="shared" si="2"/>
        <v>475.68591621274641</v>
      </c>
    </row>
    <row r="165" spans="1:9" x14ac:dyDescent="0.35">
      <c r="A165" s="23">
        <v>7</v>
      </c>
      <c r="B165" s="100">
        <v>714</v>
      </c>
      <c r="C165" s="17">
        <v>8</v>
      </c>
      <c r="D165" s="22" t="s">
        <v>211</v>
      </c>
      <c r="E165" s="101">
        <v>111327.15</v>
      </c>
      <c r="F165" s="102">
        <v>0</v>
      </c>
      <c r="G165" s="102">
        <v>111327.15</v>
      </c>
      <c r="H165" s="103">
        <v>52.871224779011598</v>
      </c>
      <c r="I165" s="104">
        <f t="shared" si="2"/>
        <v>2105.6283538979746</v>
      </c>
    </row>
    <row r="166" spans="1:9" x14ac:dyDescent="0.35">
      <c r="A166" s="23">
        <v>7</v>
      </c>
      <c r="B166" s="100">
        <v>718</v>
      </c>
      <c r="C166" s="17">
        <v>7</v>
      </c>
      <c r="D166" s="22" t="s">
        <v>179</v>
      </c>
      <c r="E166" s="101">
        <v>24676.86</v>
      </c>
      <c r="F166" s="102">
        <v>0</v>
      </c>
      <c r="G166" s="102">
        <v>24676.86</v>
      </c>
      <c r="H166" s="103">
        <v>39.640028044351531</v>
      </c>
      <c r="I166" s="104">
        <f t="shared" si="2"/>
        <v>622.52377754097745</v>
      </c>
    </row>
    <row r="167" spans="1:9" x14ac:dyDescent="0.35">
      <c r="A167" s="23">
        <v>7</v>
      </c>
      <c r="B167" s="100">
        <v>731</v>
      </c>
      <c r="C167" s="17">
        <v>5</v>
      </c>
      <c r="D167" s="22" t="s">
        <v>79</v>
      </c>
      <c r="E167" s="101">
        <v>414804.91</v>
      </c>
      <c r="F167" s="102">
        <v>14333.91</v>
      </c>
      <c r="G167" s="102">
        <v>400471</v>
      </c>
      <c r="H167" s="103">
        <v>811.33518866174882</v>
      </c>
      <c r="I167" s="104">
        <f t="shared" si="2"/>
        <v>493.5950093087348</v>
      </c>
    </row>
    <row r="168" spans="1:9" x14ac:dyDescent="0.35">
      <c r="A168" s="23">
        <v>8</v>
      </c>
      <c r="B168" s="100">
        <v>732</v>
      </c>
      <c r="C168" s="17">
        <v>5</v>
      </c>
      <c r="D168" s="22" t="s">
        <v>80</v>
      </c>
      <c r="E168" s="101">
        <v>91767.01</v>
      </c>
      <c r="F168" s="102">
        <v>0</v>
      </c>
      <c r="G168" s="102">
        <v>91767.01</v>
      </c>
      <c r="H168" s="103">
        <v>221.35846266922772</v>
      </c>
      <c r="I168" s="104">
        <f t="shared" si="2"/>
        <v>414.56291705967402</v>
      </c>
    </row>
    <row r="169" spans="1:9" x14ac:dyDescent="0.35">
      <c r="A169" s="23">
        <v>8</v>
      </c>
      <c r="B169" s="100">
        <v>736</v>
      </c>
      <c r="C169" s="17">
        <v>7</v>
      </c>
      <c r="D169" s="22" t="s">
        <v>180</v>
      </c>
      <c r="E169" s="101">
        <v>170008.1</v>
      </c>
      <c r="F169" s="102">
        <v>144</v>
      </c>
      <c r="G169" s="102">
        <v>169864.1</v>
      </c>
      <c r="H169" s="103">
        <v>131.56105718761611</v>
      </c>
      <c r="I169" s="104">
        <f t="shared" si="2"/>
        <v>1291.1427107016998</v>
      </c>
    </row>
    <row r="170" spans="1:9" x14ac:dyDescent="0.35">
      <c r="A170" s="23">
        <v>8</v>
      </c>
      <c r="B170" s="100">
        <v>747</v>
      </c>
      <c r="C170" s="17">
        <v>6</v>
      </c>
      <c r="D170" s="22" t="s">
        <v>106</v>
      </c>
      <c r="E170" s="101">
        <v>45706.95</v>
      </c>
      <c r="F170" s="102">
        <v>0</v>
      </c>
      <c r="G170" s="102">
        <v>45706.95</v>
      </c>
      <c r="H170" s="103">
        <v>38</v>
      </c>
      <c r="I170" s="104">
        <f t="shared" si="2"/>
        <v>1202.8144736842105</v>
      </c>
    </row>
    <row r="171" spans="1:9" x14ac:dyDescent="0.35">
      <c r="A171" s="23">
        <v>8</v>
      </c>
      <c r="B171" s="100">
        <v>749</v>
      </c>
      <c r="C171" s="17">
        <v>8</v>
      </c>
      <c r="D171" s="22" t="s">
        <v>212</v>
      </c>
      <c r="E171" s="101">
        <v>13262.23</v>
      </c>
      <c r="F171" s="102">
        <v>0</v>
      </c>
      <c r="G171" s="102">
        <v>13262.23</v>
      </c>
      <c r="H171" s="103">
        <v>38.992962784915356</v>
      </c>
      <c r="I171" s="104">
        <f t="shared" si="2"/>
        <v>340.11855095890706</v>
      </c>
    </row>
    <row r="172" spans="1:9" x14ac:dyDescent="0.35">
      <c r="A172" s="23">
        <v>8</v>
      </c>
      <c r="B172" s="100">
        <v>754</v>
      </c>
      <c r="C172" s="17">
        <v>5</v>
      </c>
      <c r="D172" s="22" t="s">
        <v>81</v>
      </c>
      <c r="E172" s="101">
        <v>36355.42</v>
      </c>
      <c r="F172" s="102">
        <v>0</v>
      </c>
      <c r="G172" s="102">
        <v>36355.42</v>
      </c>
      <c r="H172" s="103">
        <v>99.520260711578032</v>
      </c>
      <c r="I172" s="104">
        <f t="shared" si="2"/>
        <v>365.30671985840632</v>
      </c>
    </row>
    <row r="173" spans="1:9" x14ac:dyDescent="0.35">
      <c r="A173" s="23">
        <v>8</v>
      </c>
      <c r="B173" s="100">
        <v>757</v>
      </c>
      <c r="C173" s="17">
        <v>7</v>
      </c>
      <c r="D173" s="22" t="s">
        <v>181</v>
      </c>
      <c r="E173" s="101">
        <v>284396.12</v>
      </c>
      <c r="F173" s="102">
        <v>608</v>
      </c>
      <c r="G173" s="102">
        <v>283788.12</v>
      </c>
      <c r="H173" s="103">
        <v>463.09248804220078</v>
      </c>
      <c r="I173" s="104">
        <f t="shared" si="2"/>
        <v>612.81089054102495</v>
      </c>
    </row>
    <row r="174" spans="1:9" x14ac:dyDescent="0.35">
      <c r="A174" s="23">
        <v>8</v>
      </c>
      <c r="B174" s="100">
        <v>758</v>
      </c>
      <c r="C174" s="17">
        <v>6</v>
      </c>
      <c r="D174" s="22" t="s">
        <v>107</v>
      </c>
      <c r="E174" s="101">
        <v>346195.68</v>
      </c>
      <c r="F174" s="102">
        <v>10.15</v>
      </c>
      <c r="G174" s="102">
        <v>346185.52999999997</v>
      </c>
      <c r="H174" s="103">
        <v>310.97010643301292</v>
      </c>
      <c r="I174" s="104">
        <f t="shared" si="2"/>
        <v>1113.2437582857274</v>
      </c>
    </row>
    <row r="175" spans="1:9" x14ac:dyDescent="0.35">
      <c r="A175" s="23">
        <v>8</v>
      </c>
      <c r="B175" s="100">
        <v>760</v>
      </c>
      <c r="C175" s="17">
        <v>4</v>
      </c>
      <c r="D175" s="22" t="s">
        <v>62</v>
      </c>
      <c r="E175" s="101">
        <v>1680570.65</v>
      </c>
      <c r="F175" s="102">
        <v>569902.49</v>
      </c>
      <c r="G175" s="102">
        <v>1110668.1599999999</v>
      </c>
      <c r="H175" s="103">
        <v>4818.32</v>
      </c>
      <c r="I175" s="104">
        <f t="shared" si="2"/>
        <v>230.50942237128294</v>
      </c>
    </row>
    <row r="176" spans="1:9" x14ac:dyDescent="0.35">
      <c r="A176" s="23">
        <v>8</v>
      </c>
      <c r="B176" s="100">
        <v>764</v>
      </c>
      <c r="C176" s="17">
        <v>8</v>
      </c>
      <c r="D176" s="22" t="s">
        <v>213</v>
      </c>
      <c r="E176" s="101">
        <v>10062.030000000001</v>
      </c>
      <c r="F176" s="102">
        <v>0</v>
      </c>
      <c r="G176" s="102">
        <v>10062.030000000001</v>
      </c>
      <c r="H176" s="103">
        <v>10.911499538676168</v>
      </c>
      <c r="I176" s="104">
        <f t="shared" si="2"/>
        <v>922.14914772573707</v>
      </c>
    </row>
    <row r="177" spans="1:9" x14ac:dyDescent="0.35">
      <c r="A177" s="23">
        <v>8</v>
      </c>
      <c r="B177" s="100">
        <v>765</v>
      </c>
      <c r="C177" s="17">
        <v>6</v>
      </c>
      <c r="D177" s="22" t="s">
        <v>108</v>
      </c>
      <c r="E177" s="101">
        <v>93738.78</v>
      </c>
      <c r="F177" s="102">
        <v>0</v>
      </c>
      <c r="G177" s="102">
        <v>93738.78</v>
      </c>
      <c r="H177" s="103">
        <v>114.5</v>
      </c>
      <c r="I177" s="104">
        <f t="shared" si="2"/>
        <v>818.67930131004368</v>
      </c>
    </row>
    <row r="178" spans="1:9" x14ac:dyDescent="0.35">
      <c r="A178" s="23">
        <v>8</v>
      </c>
      <c r="B178" s="100">
        <v>770</v>
      </c>
      <c r="C178" s="17">
        <v>6</v>
      </c>
      <c r="D178" s="22" t="s">
        <v>109</v>
      </c>
      <c r="E178" s="101">
        <v>26544.54</v>
      </c>
      <c r="F178" s="102">
        <v>0</v>
      </c>
      <c r="G178" s="102">
        <v>26544.54</v>
      </c>
      <c r="H178" s="103">
        <v>42.24</v>
      </c>
      <c r="I178" s="104">
        <f t="shared" si="2"/>
        <v>628.421875</v>
      </c>
    </row>
    <row r="179" spans="1:9" x14ac:dyDescent="0.35">
      <c r="A179" s="23">
        <v>8</v>
      </c>
      <c r="B179" s="100">
        <v>771</v>
      </c>
      <c r="C179" s="17">
        <v>9</v>
      </c>
      <c r="D179" s="22" t="s">
        <v>270</v>
      </c>
      <c r="E179" s="101">
        <v>92541.6</v>
      </c>
      <c r="F179" s="102">
        <v>0</v>
      </c>
      <c r="G179" s="102">
        <v>92541.6</v>
      </c>
      <c r="H179" s="103">
        <v>150.47963975564838</v>
      </c>
      <c r="I179" s="104">
        <f t="shared" si="2"/>
        <v>614.97754879178854</v>
      </c>
    </row>
    <row r="180" spans="1:9" x14ac:dyDescent="0.35">
      <c r="A180" s="23">
        <v>8</v>
      </c>
      <c r="B180" s="100">
        <v>774</v>
      </c>
      <c r="C180" s="17">
        <v>6</v>
      </c>
      <c r="D180" s="22" t="s">
        <v>110</v>
      </c>
      <c r="E180" s="101">
        <v>332720.55</v>
      </c>
      <c r="F180" s="102">
        <v>0</v>
      </c>
      <c r="G180" s="102">
        <v>332720.55</v>
      </c>
      <c r="H180" s="103">
        <v>368.77053231096539</v>
      </c>
      <c r="I180" s="104">
        <f t="shared" si="2"/>
        <v>902.24277931034283</v>
      </c>
    </row>
    <row r="181" spans="1:9" x14ac:dyDescent="0.35">
      <c r="A181" s="23">
        <v>8</v>
      </c>
      <c r="B181" s="100">
        <v>775</v>
      </c>
      <c r="C181" s="17">
        <v>8</v>
      </c>
      <c r="D181" s="22" t="s">
        <v>214</v>
      </c>
      <c r="E181" s="101">
        <v>134821.5</v>
      </c>
      <c r="F181" s="102">
        <v>0</v>
      </c>
      <c r="G181" s="102">
        <v>134821.5</v>
      </c>
      <c r="H181" s="103">
        <v>171.21134730686421</v>
      </c>
      <c r="I181" s="104">
        <f t="shared" si="2"/>
        <v>787.45656827498567</v>
      </c>
    </row>
    <row r="182" spans="1:9" x14ac:dyDescent="0.35">
      <c r="A182" s="23">
        <v>8</v>
      </c>
      <c r="B182" s="100">
        <v>786</v>
      </c>
      <c r="C182" s="17">
        <v>7</v>
      </c>
      <c r="D182" s="22" t="s">
        <v>182</v>
      </c>
      <c r="E182" s="101">
        <v>1646967.46</v>
      </c>
      <c r="F182" s="102">
        <v>167373.51999999999</v>
      </c>
      <c r="G182" s="102">
        <v>1479593.94</v>
      </c>
      <c r="H182" s="103">
        <v>3058.6000000000004</v>
      </c>
      <c r="I182" s="104">
        <f t="shared" si="2"/>
        <v>483.74875433204727</v>
      </c>
    </row>
    <row r="183" spans="1:9" x14ac:dyDescent="0.35">
      <c r="A183" s="23">
        <v>8</v>
      </c>
      <c r="B183" s="100">
        <v>790</v>
      </c>
      <c r="C183" s="17">
        <v>8</v>
      </c>
      <c r="D183" s="22" t="s">
        <v>215</v>
      </c>
      <c r="E183" s="101">
        <v>9232.44</v>
      </c>
      <c r="F183" s="102">
        <v>0</v>
      </c>
      <c r="G183" s="102">
        <v>9232.44</v>
      </c>
      <c r="H183" s="103">
        <v>11.850041107387474</v>
      </c>
      <c r="I183" s="104">
        <f t="shared" si="2"/>
        <v>779.10615805749183</v>
      </c>
    </row>
    <row r="184" spans="1:9" x14ac:dyDescent="0.35">
      <c r="A184" s="23">
        <v>8</v>
      </c>
      <c r="B184" s="100">
        <v>794</v>
      </c>
      <c r="C184" s="17">
        <v>6</v>
      </c>
      <c r="D184" s="22" t="s">
        <v>111</v>
      </c>
      <c r="E184" s="101">
        <v>49916.800000000003</v>
      </c>
      <c r="F184" s="102">
        <v>0</v>
      </c>
      <c r="G184" s="102">
        <v>49916.800000000003</v>
      </c>
      <c r="H184" s="103">
        <v>20.222113750946743</v>
      </c>
      <c r="I184" s="104">
        <f t="shared" si="2"/>
        <v>2468.4264273641047</v>
      </c>
    </row>
    <row r="185" spans="1:9" x14ac:dyDescent="0.35">
      <c r="A185" s="23">
        <v>8</v>
      </c>
      <c r="B185" s="100">
        <v>795</v>
      </c>
      <c r="C185" s="17">
        <v>8</v>
      </c>
      <c r="D185" s="22" t="s">
        <v>216</v>
      </c>
      <c r="E185" s="101">
        <v>210861.53</v>
      </c>
      <c r="F185" s="102">
        <v>4554.55</v>
      </c>
      <c r="G185" s="102">
        <v>206306.98</v>
      </c>
      <c r="H185" s="103">
        <v>179.1317224964767</v>
      </c>
      <c r="I185" s="104">
        <f t="shared" si="2"/>
        <v>1151.7054440430438</v>
      </c>
    </row>
    <row r="186" spans="1:9" x14ac:dyDescent="0.35">
      <c r="A186" s="23">
        <v>8</v>
      </c>
      <c r="B186" s="100">
        <v>796</v>
      </c>
      <c r="C186" s="17">
        <v>8</v>
      </c>
      <c r="D186" s="22" t="s">
        <v>217</v>
      </c>
      <c r="E186" s="101">
        <v>25689.16</v>
      </c>
      <c r="F186" s="102">
        <v>0</v>
      </c>
      <c r="G186" s="102">
        <v>25689.16</v>
      </c>
      <c r="H186" s="103">
        <v>35.5</v>
      </c>
      <c r="I186" s="104">
        <f t="shared" si="2"/>
        <v>723.6383098591549</v>
      </c>
    </row>
    <row r="187" spans="1:9" x14ac:dyDescent="0.35">
      <c r="A187" s="23">
        <v>8</v>
      </c>
      <c r="B187" s="100">
        <v>797</v>
      </c>
      <c r="C187" s="17">
        <v>8</v>
      </c>
      <c r="D187" s="22" t="s">
        <v>218</v>
      </c>
      <c r="E187" s="101">
        <v>43696.58</v>
      </c>
      <c r="F187" s="102">
        <v>1315</v>
      </c>
      <c r="G187" s="102">
        <v>42381.58</v>
      </c>
      <c r="H187" s="103">
        <v>18.136463858283562</v>
      </c>
      <c r="I187" s="104">
        <f t="shared" si="2"/>
        <v>2336.8160591372853</v>
      </c>
    </row>
    <row r="188" spans="1:9" x14ac:dyDescent="0.35">
      <c r="A188" s="23">
        <v>8</v>
      </c>
      <c r="B188" s="100">
        <v>801</v>
      </c>
      <c r="C188" s="17">
        <v>8</v>
      </c>
      <c r="D188" s="22" t="s">
        <v>219</v>
      </c>
      <c r="E188" s="101">
        <v>115450.44</v>
      </c>
      <c r="F188" s="102">
        <v>0</v>
      </c>
      <c r="G188" s="102">
        <v>115450.44</v>
      </c>
      <c r="H188" s="103">
        <v>81.922589742232461</v>
      </c>
      <c r="I188" s="104">
        <f t="shared" si="2"/>
        <v>1409.2625777976764</v>
      </c>
    </row>
    <row r="189" spans="1:9" x14ac:dyDescent="0.35">
      <c r="A189" s="23">
        <v>8</v>
      </c>
      <c r="B189" s="100">
        <v>806</v>
      </c>
      <c r="C189" s="17">
        <v>6</v>
      </c>
      <c r="D189" s="22" t="s">
        <v>112</v>
      </c>
      <c r="E189" s="101">
        <v>54684.83</v>
      </c>
      <c r="F189" s="102">
        <v>0</v>
      </c>
      <c r="G189" s="102">
        <v>54684.83</v>
      </c>
      <c r="H189" s="103">
        <v>38</v>
      </c>
      <c r="I189" s="104">
        <f t="shared" si="2"/>
        <v>1439.0744736842105</v>
      </c>
    </row>
    <row r="190" spans="1:9" x14ac:dyDescent="0.35">
      <c r="A190" s="23">
        <v>8</v>
      </c>
      <c r="B190" s="100">
        <v>809</v>
      </c>
      <c r="C190" s="17">
        <v>8</v>
      </c>
      <c r="D190" s="22" t="s">
        <v>220</v>
      </c>
      <c r="E190" s="101">
        <v>462882.94</v>
      </c>
      <c r="F190" s="102">
        <v>0</v>
      </c>
      <c r="G190" s="102">
        <v>462882.94</v>
      </c>
      <c r="H190" s="103">
        <v>126.16898242797932</v>
      </c>
      <c r="I190" s="104">
        <f t="shared" si="2"/>
        <v>3668.7538497366113</v>
      </c>
    </row>
    <row r="191" spans="1:9" x14ac:dyDescent="0.35">
      <c r="A191" s="23">
        <v>8</v>
      </c>
      <c r="B191" s="100">
        <v>810</v>
      </c>
      <c r="C191" s="17">
        <v>8</v>
      </c>
      <c r="D191" s="22" t="s">
        <v>221</v>
      </c>
      <c r="E191" s="101">
        <v>160902.45000000001</v>
      </c>
      <c r="F191" s="102">
        <v>0</v>
      </c>
      <c r="G191" s="102">
        <v>160902.45000000001</v>
      </c>
      <c r="H191" s="103">
        <v>136.84</v>
      </c>
      <c r="I191" s="104">
        <f t="shared" si="2"/>
        <v>1175.8436860567085</v>
      </c>
    </row>
    <row r="192" spans="1:9" x14ac:dyDescent="0.35">
      <c r="A192" s="23">
        <v>8</v>
      </c>
      <c r="B192" s="100">
        <v>811</v>
      </c>
      <c r="C192" s="17">
        <v>6</v>
      </c>
      <c r="D192" s="22" t="s">
        <v>113</v>
      </c>
      <c r="E192" s="101">
        <v>651309.42000000004</v>
      </c>
      <c r="F192" s="102">
        <v>3336.7400000000002</v>
      </c>
      <c r="G192" s="102">
        <v>647972.68000000005</v>
      </c>
      <c r="H192" s="103">
        <v>628.76180768251299</v>
      </c>
      <c r="I192" s="104">
        <f t="shared" si="2"/>
        <v>1030.553497497398</v>
      </c>
    </row>
    <row r="193" spans="1:9" x14ac:dyDescent="0.35">
      <c r="A193" s="23"/>
      <c r="B193" s="100">
        <v>812</v>
      </c>
      <c r="C193" s="17">
        <v>8</v>
      </c>
      <c r="D193" s="22" t="s">
        <v>222</v>
      </c>
      <c r="E193" s="101">
        <v>87007</v>
      </c>
      <c r="F193" s="102">
        <v>164.5</v>
      </c>
      <c r="G193" s="102">
        <v>86842.5</v>
      </c>
      <c r="H193" s="103">
        <v>35.618797095482762</v>
      </c>
      <c r="I193" s="104">
        <f t="shared" si="2"/>
        <v>2438.108725772031</v>
      </c>
    </row>
    <row r="194" spans="1:9" x14ac:dyDescent="0.35">
      <c r="A194" s="23">
        <v>8</v>
      </c>
      <c r="B194" s="100">
        <v>818</v>
      </c>
      <c r="C194" s="17">
        <v>8</v>
      </c>
      <c r="D194" s="22" t="s">
        <v>223</v>
      </c>
      <c r="E194" s="101">
        <v>19267.900000000001</v>
      </c>
      <c r="F194" s="102">
        <v>0</v>
      </c>
      <c r="G194" s="102">
        <v>19267.900000000001</v>
      </c>
      <c r="H194" s="103">
        <v>32.857676017331173</v>
      </c>
      <c r="I194" s="104">
        <f t="shared" si="2"/>
        <v>586.40483246097256</v>
      </c>
    </row>
    <row r="195" spans="1:9" x14ac:dyDescent="0.35">
      <c r="A195" s="23">
        <v>8</v>
      </c>
      <c r="B195" s="100">
        <v>824</v>
      </c>
      <c r="C195" s="17">
        <v>6</v>
      </c>
      <c r="D195" s="22" t="s">
        <v>114</v>
      </c>
      <c r="E195" s="101">
        <v>58741.05</v>
      </c>
      <c r="F195" s="102">
        <v>0</v>
      </c>
      <c r="G195" s="102">
        <v>58741.05</v>
      </c>
      <c r="H195" s="103">
        <v>32.54</v>
      </c>
      <c r="I195" s="104">
        <f t="shared" si="2"/>
        <v>1805.1951444376155</v>
      </c>
    </row>
    <row r="196" spans="1:9" x14ac:dyDescent="0.35">
      <c r="A196" s="23">
        <v>8</v>
      </c>
      <c r="B196" s="100">
        <v>826</v>
      </c>
      <c r="C196" s="17">
        <v>6</v>
      </c>
      <c r="D196" s="22" t="s">
        <v>115</v>
      </c>
      <c r="E196" s="101">
        <v>36376.480000000003</v>
      </c>
      <c r="F196" s="102">
        <v>0</v>
      </c>
      <c r="G196" s="102">
        <v>36376.480000000003</v>
      </c>
      <c r="H196" s="103">
        <v>45.95</v>
      </c>
      <c r="I196" s="104">
        <f t="shared" si="2"/>
        <v>791.653536452666</v>
      </c>
    </row>
    <row r="197" spans="1:9" x14ac:dyDescent="0.35">
      <c r="A197" s="23">
        <v>8</v>
      </c>
      <c r="B197" s="100">
        <v>830</v>
      </c>
      <c r="C197" s="17">
        <v>9</v>
      </c>
      <c r="D197" s="22" t="s">
        <v>271</v>
      </c>
      <c r="E197" s="101">
        <v>29406.38</v>
      </c>
      <c r="F197" s="102">
        <v>0</v>
      </c>
      <c r="G197" s="102">
        <v>29406.38</v>
      </c>
      <c r="H197" s="103">
        <v>24.409999999999997</v>
      </c>
      <c r="I197" s="104">
        <f t="shared" ref="I197:I250" si="3">IFERROR(G197/H197,0)</f>
        <v>1204.6857845145435</v>
      </c>
    </row>
    <row r="198" spans="1:9" x14ac:dyDescent="0.35">
      <c r="A198" s="23">
        <v>8</v>
      </c>
      <c r="B198" s="100">
        <v>833</v>
      </c>
      <c r="C198" s="17">
        <v>8</v>
      </c>
      <c r="D198" s="22" t="s">
        <v>224</v>
      </c>
      <c r="E198" s="101">
        <v>40085.18</v>
      </c>
      <c r="F198" s="102">
        <v>0</v>
      </c>
      <c r="G198" s="102">
        <v>40085.18</v>
      </c>
      <c r="H198" s="103">
        <v>55.573879431587635</v>
      </c>
      <c r="I198" s="104">
        <f t="shared" si="3"/>
        <v>721.29533532647326</v>
      </c>
    </row>
    <row r="199" spans="1:9" x14ac:dyDescent="0.35">
      <c r="A199" s="23">
        <v>8</v>
      </c>
      <c r="B199" s="100">
        <v>834</v>
      </c>
      <c r="C199" s="17">
        <v>8</v>
      </c>
      <c r="D199" s="22" t="s">
        <v>225</v>
      </c>
      <c r="E199" s="101">
        <v>64023.01</v>
      </c>
      <c r="F199" s="102">
        <v>5361.7</v>
      </c>
      <c r="G199" s="102">
        <v>58661.310000000005</v>
      </c>
      <c r="H199" s="103">
        <v>114.61999999999999</v>
      </c>
      <c r="I199" s="104">
        <f t="shared" si="3"/>
        <v>511.78947827604264</v>
      </c>
    </row>
    <row r="200" spans="1:9" x14ac:dyDescent="0.35">
      <c r="A200" s="23">
        <v>8</v>
      </c>
      <c r="B200" s="100">
        <v>837</v>
      </c>
      <c r="C200" s="17">
        <v>8</v>
      </c>
      <c r="D200" s="22" t="s">
        <v>226</v>
      </c>
      <c r="E200" s="101">
        <v>164937.14000000001</v>
      </c>
      <c r="F200" s="102">
        <v>0</v>
      </c>
      <c r="G200" s="102">
        <v>164937.14000000001</v>
      </c>
      <c r="H200" s="103">
        <v>194.5</v>
      </c>
      <c r="I200" s="104">
        <f t="shared" si="3"/>
        <v>848.00586118251931</v>
      </c>
    </row>
    <row r="201" spans="1:9" x14ac:dyDescent="0.35">
      <c r="A201" s="23">
        <v>8</v>
      </c>
      <c r="B201" s="100">
        <v>840</v>
      </c>
      <c r="C201" s="17">
        <v>6</v>
      </c>
      <c r="D201" s="22" t="s">
        <v>116</v>
      </c>
      <c r="E201" s="101">
        <v>165320.72</v>
      </c>
      <c r="F201" s="102">
        <v>0</v>
      </c>
      <c r="G201" s="102">
        <v>165320.72</v>
      </c>
      <c r="H201" s="103">
        <v>148.27232695257985</v>
      </c>
      <c r="I201" s="104">
        <f t="shared" si="3"/>
        <v>1114.9802758061019</v>
      </c>
    </row>
    <row r="202" spans="1:9" x14ac:dyDescent="0.35">
      <c r="A202" s="23">
        <v>8</v>
      </c>
      <c r="B202" s="100">
        <v>843</v>
      </c>
      <c r="C202" s="17">
        <v>6</v>
      </c>
      <c r="D202" s="22" t="s">
        <v>117</v>
      </c>
      <c r="E202" s="101">
        <v>32482.07</v>
      </c>
      <c r="F202" s="102">
        <v>0</v>
      </c>
      <c r="G202" s="102">
        <v>32482.07</v>
      </c>
      <c r="H202" s="103">
        <v>25</v>
      </c>
      <c r="I202" s="104">
        <f t="shared" si="3"/>
        <v>1299.2828</v>
      </c>
    </row>
    <row r="203" spans="1:9" x14ac:dyDescent="0.35">
      <c r="A203" s="23">
        <v>8</v>
      </c>
      <c r="B203" s="100">
        <v>845</v>
      </c>
      <c r="C203" s="17">
        <v>8</v>
      </c>
      <c r="D203" s="22" t="s">
        <v>298</v>
      </c>
      <c r="E203" s="101">
        <v>2745.53</v>
      </c>
      <c r="F203" s="102">
        <v>0</v>
      </c>
      <c r="G203" s="102">
        <v>2745.53</v>
      </c>
      <c r="H203" s="103">
        <v>1.2819104353130046</v>
      </c>
      <c r="I203" s="104">
        <f t="shared" si="3"/>
        <v>2141.7486934877966</v>
      </c>
    </row>
    <row r="204" spans="1:9" x14ac:dyDescent="0.35">
      <c r="A204" s="23">
        <v>8</v>
      </c>
      <c r="B204" s="100">
        <v>846</v>
      </c>
      <c r="C204" s="17">
        <v>6</v>
      </c>
      <c r="D204" s="22" t="s">
        <v>291</v>
      </c>
      <c r="E204" s="101">
        <v>38978.49</v>
      </c>
      <c r="F204" s="102">
        <v>0</v>
      </c>
      <c r="G204" s="102">
        <v>38978.49</v>
      </c>
      <c r="H204" s="103">
        <v>28.75</v>
      </c>
      <c r="I204" s="104">
        <f t="shared" si="3"/>
        <v>1355.7735652173913</v>
      </c>
    </row>
    <row r="205" spans="1:9" x14ac:dyDescent="0.35">
      <c r="A205" s="23">
        <v>8</v>
      </c>
      <c r="B205" s="100">
        <v>854</v>
      </c>
      <c r="C205" s="17">
        <v>7</v>
      </c>
      <c r="D205" s="22" t="s">
        <v>183</v>
      </c>
      <c r="E205" s="101">
        <v>752199.32</v>
      </c>
      <c r="F205" s="102">
        <v>17207.98</v>
      </c>
      <c r="G205" s="102">
        <v>734991.34</v>
      </c>
      <c r="H205" s="103">
        <v>1034.6772209405242</v>
      </c>
      <c r="I205" s="104">
        <f t="shared" si="3"/>
        <v>710.35809537963053</v>
      </c>
    </row>
    <row r="206" spans="1:9" x14ac:dyDescent="0.35">
      <c r="A206" s="23">
        <v>8</v>
      </c>
      <c r="B206" s="100">
        <v>855</v>
      </c>
      <c r="C206" s="17">
        <v>7</v>
      </c>
      <c r="D206" s="22" t="s">
        <v>184</v>
      </c>
      <c r="E206" s="101">
        <v>160179.32999999999</v>
      </c>
      <c r="F206" s="102">
        <v>530</v>
      </c>
      <c r="G206" s="102">
        <v>159649.32999999999</v>
      </c>
      <c r="H206" s="103">
        <v>225.15</v>
      </c>
      <c r="I206" s="104">
        <f t="shared" si="3"/>
        <v>709.07985787252937</v>
      </c>
    </row>
    <row r="207" spans="1:9" x14ac:dyDescent="0.35">
      <c r="A207" s="23">
        <v>8</v>
      </c>
      <c r="B207" s="100">
        <v>862</v>
      </c>
      <c r="C207" s="17">
        <v>7</v>
      </c>
      <c r="D207" s="22" t="s">
        <v>185</v>
      </c>
      <c r="E207" s="101">
        <v>11293.56</v>
      </c>
      <c r="F207" s="102">
        <v>10454.92</v>
      </c>
      <c r="G207" s="102">
        <v>838.63999999999942</v>
      </c>
      <c r="H207" s="103">
        <v>13.03531182914487</v>
      </c>
      <c r="I207" s="104">
        <f t="shared" si="3"/>
        <v>64.336013667500822</v>
      </c>
    </row>
    <row r="208" spans="1:9" x14ac:dyDescent="0.35">
      <c r="A208" s="23">
        <v>8</v>
      </c>
      <c r="B208" s="100">
        <v>866</v>
      </c>
      <c r="C208" s="17">
        <v>8</v>
      </c>
      <c r="D208" s="22" t="s">
        <v>228</v>
      </c>
      <c r="E208" s="101">
        <v>51780.81</v>
      </c>
      <c r="F208" s="102">
        <v>0</v>
      </c>
      <c r="G208" s="102">
        <v>51780.81</v>
      </c>
      <c r="H208" s="103">
        <v>137.85276769715006</v>
      </c>
      <c r="I208" s="104">
        <f t="shared" si="3"/>
        <v>375.62401441048837</v>
      </c>
    </row>
    <row r="209" spans="1:9" x14ac:dyDescent="0.35">
      <c r="A209" s="23">
        <v>8</v>
      </c>
      <c r="B209" s="100">
        <v>871</v>
      </c>
      <c r="C209" s="17">
        <v>8</v>
      </c>
      <c r="D209" s="22" t="s">
        <v>229</v>
      </c>
      <c r="E209" s="101">
        <v>15504.97</v>
      </c>
      <c r="F209" s="102">
        <v>0</v>
      </c>
      <c r="G209" s="102">
        <v>15504.97</v>
      </c>
      <c r="H209" s="103">
        <v>18.023491155764308</v>
      </c>
      <c r="I209" s="104">
        <f t="shared" si="3"/>
        <v>860.26452178445845</v>
      </c>
    </row>
    <row r="210" spans="1:9" x14ac:dyDescent="0.35">
      <c r="A210" s="23">
        <v>8</v>
      </c>
      <c r="B210" s="100">
        <v>873</v>
      </c>
      <c r="C210" s="17">
        <v>8</v>
      </c>
      <c r="D210" s="22" t="s">
        <v>230</v>
      </c>
      <c r="E210" s="101">
        <v>93827.54</v>
      </c>
      <c r="F210" s="102">
        <v>0</v>
      </c>
      <c r="G210" s="102">
        <v>93827.54</v>
      </c>
      <c r="H210" s="103">
        <v>162.88999999999999</v>
      </c>
      <c r="I210" s="104">
        <f t="shared" si="3"/>
        <v>576.01780342562472</v>
      </c>
    </row>
    <row r="211" spans="1:9" x14ac:dyDescent="0.35">
      <c r="A211" s="23">
        <v>8</v>
      </c>
      <c r="B211" s="100">
        <v>878</v>
      </c>
      <c r="C211" s="17">
        <v>4</v>
      </c>
      <c r="D211" s="22" t="s">
        <v>63</v>
      </c>
      <c r="E211" s="101">
        <v>3789262.06</v>
      </c>
      <c r="F211" s="102">
        <v>556703.94000000006</v>
      </c>
      <c r="G211" s="102">
        <v>3232558.12</v>
      </c>
      <c r="H211" s="103">
        <v>7068.77</v>
      </c>
      <c r="I211" s="104">
        <f t="shared" si="3"/>
        <v>457.3013579448758</v>
      </c>
    </row>
    <row r="212" spans="1:9" x14ac:dyDescent="0.35">
      <c r="A212" s="23">
        <v>8</v>
      </c>
      <c r="B212" s="100">
        <v>885</v>
      </c>
      <c r="C212" s="17">
        <v>5</v>
      </c>
      <c r="D212" s="22" t="s">
        <v>82</v>
      </c>
      <c r="E212" s="101">
        <v>132562.76999999999</v>
      </c>
      <c r="F212" s="102">
        <v>0</v>
      </c>
      <c r="G212" s="102">
        <v>132562.76999999999</v>
      </c>
      <c r="H212" s="103">
        <v>10.454320086974185</v>
      </c>
      <c r="I212" s="104">
        <f t="shared" si="3"/>
        <v>12680.190476009033</v>
      </c>
    </row>
    <row r="213" spans="1:9" x14ac:dyDescent="0.35">
      <c r="A213" s="23">
        <v>8</v>
      </c>
      <c r="B213" s="100">
        <v>888</v>
      </c>
      <c r="C213" s="17">
        <v>6</v>
      </c>
      <c r="D213" s="22" t="s">
        <v>118</v>
      </c>
      <c r="E213" s="101">
        <v>73270.44</v>
      </c>
      <c r="F213" s="102">
        <v>0</v>
      </c>
      <c r="G213" s="102">
        <v>73270.44</v>
      </c>
      <c r="H213" s="103">
        <v>93.497946646513114</v>
      </c>
      <c r="I213" s="104">
        <f t="shared" si="3"/>
        <v>783.65827943808142</v>
      </c>
    </row>
    <row r="214" spans="1:9" x14ac:dyDescent="0.35">
      <c r="A214" s="23">
        <v>8</v>
      </c>
      <c r="B214" s="100">
        <v>889</v>
      </c>
      <c r="C214" s="17">
        <v>6</v>
      </c>
      <c r="D214" s="22" t="s">
        <v>119</v>
      </c>
      <c r="E214" s="101">
        <v>53122.93</v>
      </c>
      <c r="F214" s="102">
        <v>0</v>
      </c>
      <c r="G214" s="102">
        <v>53122.93</v>
      </c>
      <c r="H214" s="103">
        <v>36.290273990170526</v>
      </c>
      <c r="I214" s="104">
        <f t="shared" si="3"/>
        <v>1463.8338088709033</v>
      </c>
    </row>
    <row r="215" spans="1:9" x14ac:dyDescent="0.35">
      <c r="A215" s="23">
        <v>8</v>
      </c>
      <c r="B215" s="100">
        <v>891</v>
      </c>
      <c r="C215" s="17">
        <v>6</v>
      </c>
      <c r="D215" s="22" t="s">
        <v>120</v>
      </c>
      <c r="E215" s="101">
        <v>108583.36</v>
      </c>
      <c r="F215" s="102">
        <v>0</v>
      </c>
      <c r="G215" s="102">
        <v>108583.36</v>
      </c>
      <c r="H215" s="103">
        <v>273.0316618831543</v>
      </c>
      <c r="I215" s="104">
        <f t="shared" si="3"/>
        <v>397.69512169789658</v>
      </c>
    </row>
    <row r="216" spans="1:9" x14ac:dyDescent="0.35">
      <c r="A216" s="23">
        <v>8</v>
      </c>
      <c r="B216" s="100">
        <v>897</v>
      </c>
      <c r="C216" s="17">
        <v>8</v>
      </c>
      <c r="D216" s="22" t="s">
        <v>231</v>
      </c>
      <c r="E216" s="101">
        <v>351541.58</v>
      </c>
      <c r="F216" s="102">
        <v>200</v>
      </c>
      <c r="G216" s="102">
        <v>351341.58</v>
      </c>
      <c r="H216" s="103">
        <v>89.939751791871316</v>
      </c>
      <c r="I216" s="104">
        <f t="shared" si="3"/>
        <v>3906.4103802847494</v>
      </c>
    </row>
    <row r="217" spans="1:9" x14ac:dyDescent="0.35">
      <c r="A217" s="23">
        <v>8</v>
      </c>
      <c r="B217" s="100">
        <v>904</v>
      </c>
      <c r="C217" s="17">
        <v>6</v>
      </c>
      <c r="D217" s="22" t="s">
        <v>121</v>
      </c>
      <c r="E217" s="101">
        <v>14142.95</v>
      </c>
      <c r="F217" s="102">
        <v>0</v>
      </c>
      <c r="G217" s="102">
        <v>14142.95</v>
      </c>
      <c r="H217" s="103">
        <v>32.310192920507085</v>
      </c>
      <c r="I217" s="104">
        <f t="shared" si="3"/>
        <v>437.72409638023413</v>
      </c>
    </row>
    <row r="218" spans="1:9" x14ac:dyDescent="0.35">
      <c r="A218" s="23">
        <v>8</v>
      </c>
      <c r="B218" s="100">
        <v>905</v>
      </c>
      <c r="C218" s="17">
        <v>8</v>
      </c>
      <c r="D218" s="22" t="s">
        <v>232</v>
      </c>
      <c r="E218" s="101">
        <v>70781.73</v>
      </c>
      <c r="F218" s="102">
        <v>0</v>
      </c>
      <c r="G218" s="102">
        <v>70781.73</v>
      </c>
      <c r="H218" s="103">
        <v>104.80390710632476</v>
      </c>
      <c r="I218" s="104">
        <f t="shared" si="3"/>
        <v>675.37300807107431</v>
      </c>
    </row>
    <row r="219" spans="1:9" x14ac:dyDescent="0.35">
      <c r="A219" s="23">
        <v>8</v>
      </c>
      <c r="B219" s="100">
        <v>906</v>
      </c>
      <c r="C219" s="17">
        <v>6</v>
      </c>
      <c r="D219" s="22" t="s">
        <v>292</v>
      </c>
      <c r="E219" s="101">
        <v>235284.62</v>
      </c>
      <c r="F219" s="102">
        <v>38252.300000000003</v>
      </c>
      <c r="G219" s="102">
        <v>197032.32000000001</v>
      </c>
      <c r="H219" s="103">
        <v>219.6</v>
      </c>
      <c r="I219" s="104">
        <f t="shared" si="3"/>
        <v>897.2327868852459</v>
      </c>
    </row>
    <row r="220" spans="1:9" x14ac:dyDescent="0.35">
      <c r="A220" s="23">
        <v>9</v>
      </c>
      <c r="B220" s="100">
        <v>907</v>
      </c>
      <c r="C220" s="17">
        <v>8</v>
      </c>
      <c r="D220" s="22" t="s">
        <v>233</v>
      </c>
      <c r="E220" s="101">
        <v>19747.95</v>
      </c>
      <c r="F220" s="102">
        <v>0</v>
      </c>
      <c r="G220" s="102">
        <v>19747.95</v>
      </c>
      <c r="H220" s="103">
        <v>12.40092665345982</v>
      </c>
      <c r="I220" s="104">
        <f t="shared" si="3"/>
        <v>1592.4576083586774</v>
      </c>
    </row>
    <row r="221" spans="1:9" x14ac:dyDescent="0.35">
      <c r="A221" s="23">
        <v>9</v>
      </c>
      <c r="B221" s="100">
        <v>909</v>
      </c>
      <c r="C221" s="17">
        <v>5</v>
      </c>
      <c r="D221" s="22" t="s">
        <v>83</v>
      </c>
      <c r="E221" s="101">
        <v>189927.52</v>
      </c>
      <c r="F221" s="102">
        <v>1334.85</v>
      </c>
      <c r="G221" s="102">
        <v>188592.66999999998</v>
      </c>
      <c r="H221" s="103">
        <v>481.76</v>
      </c>
      <c r="I221" s="104">
        <f t="shared" si="3"/>
        <v>391.4660204251079</v>
      </c>
    </row>
    <row r="222" spans="1:9" x14ac:dyDescent="0.35">
      <c r="A222" s="23">
        <v>9</v>
      </c>
      <c r="B222" s="100">
        <v>914</v>
      </c>
      <c r="C222" s="17">
        <v>8</v>
      </c>
      <c r="D222" s="22" t="s">
        <v>234</v>
      </c>
      <c r="E222" s="101">
        <v>20034.88</v>
      </c>
      <c r="F222" s="102">
        <v>0</v>
      </c>
      <c r="G222" s="102">
        <v>20034.88</v>
      </c>
      <c r="H222" s="103">
        <v>47.0140246637825</v>
      </c>
      <c r="I222" s="104">
        <f t="shared" si="3"/>
        <v>426.14688155881231</v>
      </c>
    </row>
    <row r="223" spans="1:9" x14ac:dyDescent="0.35">
      <c r="A223" s="23">
        <v>9</v>
      </c>
      <c r="B223" s="100">
        <v>917</v>
      </c>
      <c r="C223" s="17">
        <v>6</v>
      </c>
      <c r="D223" s="22" t="s">
        <v>293</v>
      </c>
      <c r="E223" s="101">
        <v>55100.05</v>
      </c>
      <c r="F223" s="102">
        <v>249.67</v>
      </c>
      <c r="G223" s="102">
        <v>54850.380000000005</v>
      </c>
      <c r="H223" s="103">
        <v>208.7606404745743</v>
      </c>
      <c r="I223" s="104">
        <f t="shared" si="3"/>
        <v>262.742918757621</v>
      </c>
    </row>
    <row r="224" spans="1:9" x14ac:dyDescent="0.35">
      <c r="A224" s="23">
        <v>9</v>
      </c>
      <c r="B224" s="100">
        <v>918</v>
      </c>
      <c r="C224" s="17">
        <v>8</v>
      </c>
      <c r="D224" s="22" t="s">
        <v>235</v>
      </c>
      <c r="E224" s="101">
        <v>58623.87</v>
      </c>
      <c r="F224" s="102">
        <v>0</v>
      </c>
      <c r="G224" s="102">
        <v>58623.87</v>
      </c>
      <c r="H224" s="103">
        <v>55.460906729068377</v>
      </c>
      <c r="I224" s="104">
        <f t="shared" si="3"/>
        <v>1057.0305005358639</v>
      </c>
    </row>
    <row r="225" spans="1:9" x14ac:dyDescent="0.35">
      <c r="A225" s="23">
        <v>9</v>
      </c>
      <c r="B225" s="100">
        <v>922</v>
      </c>
      <c r="C225" s="17">
        <v>8</v>
      </c>
      <c r="D225" s="22" t="s">
        <v>236</v>
      </c>
      <c r="E225" s="101">
        <v>148178.89000000001</v>
      </c>
      <c r="F225" s="102">
        <v>7437.3</v>
      </c>
      <c r="G225" s="102">
        <v>140741.59000000003</v>
      </c>
      <c r="H225" s="103">
        <v>150.75772640800349</v>
      </c>
      <c r="I225" s="104">
        <f t="shared" si="3"/>
        <v>933.56137262977632</v>
      </c>
    </row>
    <row r="226" spans="1:9" x14ac:dyDescent="0.35">
      <c r="A226" s="23">
        <v>9</v>
      </c>
      <c r="B226" s="100">
        <v>923</v>
      </c>
      <c r="C226" s="17">
        <v>5</v>
      </c>
      <c r="D226" s="22" t="s">
        <v>84</v>
      </c>
      <c r="E226" s="101">
        <v>33457.160000000003</v>
      </c>
      <c r="F226" s="102">
        <v>84.96</v>
      </c>
      <c r="G226" s="102">
        <v>33372.200000000004</v>
      </c>
      <c r="H226" s="103">
        <v>50.790000000000006</v>
      </c>
      <c r="I226" s="104">
        <f t="shared" si="3"/>
        <v>657.06241386099623</v>
      </c>
    </row>
    <row r="227" spans="1:9" x14ac:dyDescent="0.35">
      <c r="A227" s="23">
        <v>9</v>
      </c>
      <c r="B227" s="100">
        <v>924</v>
      </c>
      <c r="C227" s="17">
        <v>8</v>
      </c>
      <c r="D227" s="22" t="s">
        <v>237</v>
      </c>
      <c r="E227" s="101">
        <v>48667.92</v>
      </c>
      <c r="F227" s="102">
        <v>0</v>
      </c>
      <c r="G227" s="102">
        <v>48667.92</v>
      </c>
      <c r="H227" s="103">
        <v>74.918282186038624</v>
      </c>
      <c r="I227" s="104">
        <f t="shared" si="3"/>
        <v>649.61339982605068</v>
      </c>
    </row>
    <row r="228" spans="1:9" x14ac:dyDescent="0.35">
      <c r="A228" s="23">
        <v>9</v>
      </c>
      <c r="B228" s="100">
        <v>929</v>
      </c>
      <c r="C228" s="17">
        <v>8</v>
      </c>
      <c r="D228" s="22" t="s">
        <v>238</v>
      </c>
      <c r="E228" s="101">
        <v>76019.56</v>
      </c>
      <c r="F228" s="102">
        <v>0</v>
      </c>
      <c r="G228" s="102">
        <v>76019.56</v>
      </c>
      <c r="H228" s="103">
        <v>61.552742457222074</v>
      </c>
      <c r="I228" s="104">
        <f t="shared" si="3"/>
        <v>1235.0312425613217</v>
      </c>
    </row>
    <row r="229" spans="1:9" x14ac:dyDescent="0.35">
      <c r="A229" s="23">
        <v>9</v>
      </c>
      <c r="B229" s="100">
        <v>936</v>
      </c>
      <c r="C229" s="17">
        <v>9</v>
      </c>
      <c r="D229" s="22" t="s">
        <v>272</v>
      </c>
      <c r="E229" s="101">
        <v>76676.479999999996</v>
      </c>
      <c r="F229" s="102">
        <v>0</v>
      </c>
      <c r="G229" s="102">
        <v>76676.479999999996</v>
      </c>
      <c r="H229" s="103">
        <v>41.000400806603665</v>
      </c>
      <c r="I229" s="104">
        <f t="shared" si="3"/>
        <v>1870.1397667227247</v>
      </c>
    </row>
    <row r="230" spans="1:9" x14ac:dyDescent="0.35">
      <c r="A230" s="23">
        <v>9</v>
      </c>
      <c r="B230" s="100">
        <v>952</v>
      </c>
      <c r="C230" s="17">
        <v>9</v>
      </c>
      <c r="D230" s="22" t="s">
        <v>273</v>
      </c>
      <c r="E230" s="101">
        <v>92682.41</v>
      </c>
      <c r="F230" s="102">
        <v>3120.3</v>
      </c>
      <c r="G230" s="102">
        <v>89562.11</v>
      </c>
      <c r="H230" s="103">
        <v>58.010000000000005</v>
      </c>
      <c r="I230" s="104">
        <f t="shared" si="3"/>
        <v>1543.9081192897775</v>
      </c>
    </row>
    <row r="231" spans="1:9" x14ac:dyDescent="0.35">
      <c r="A231" s="23">
        <v>9</v>
      </c>
      <c r="B231" s="100">
        <v>955</v>
      </c>
      <c r="C231" s="17">
        <v>8</v>
      </c>
      <c r="D231" s="22" t="s">
        <v>239</v>
      </c>
      <c r="E231" s="101">
        <v>31883.37</v>
      </c>
      <c r="F231" s="102">
        <v>0</v>
      </c>
      <c r="G231" s="102">
        <v>31883.37</v>
      </c>
      <c r="H231" s="103">
        <v>53.893651217950882</v>
      </c>
      <c r="I231" s="104">
        <f t="shared" si="3"/>
        <v>591.59788359969741</v>
      </c>
    </row>
    <row r="232" spans="1:9" x14ac:dyDescent="0.35">
      <c r="A232" s="23">
        <v>9</v>
      </c>
      <c r="B232" s="100">
        <v>957</v>
      </c>
      <c r="C232" s="17">
        <v>6</v>
      </c>
      <c r="D232" s="22" t="s">
        <v>122</v>
      </c>
      <c r="E232" s="101">
        <v>42589.67</v>
      </c>
      <c r="F232" s="102">
        <v>0</v>
      </c>
      <c r="G232" s="102">
        <v>42589.67</v>
      </c>
      <c r="H232" s="103">
        <v>111.0869274079726</v>
      </c>
      <c r="I232" s="104">
        <f t="shared" si="3"/>
        <v>383.39047621316587</v>
      </c>
    </row>
    <row r="233" spans="1:9" x14ac:dyDescent="0.35">
      <c r="A233" s="23">
        <v>9</v>
      </c>
      <c r="B233" s="100">
        <v>958</v>
      </c>
      <c r="C233" s="17">
        <v>7</v>
      </c>
      <c r="D233" s="22" t="s">
        <v>186</v>
      </c>
      <c r="E233" s="101">
        <v>204341.06</v>
      </c>
      <c r="F233" s="102">
        <v>123.4</v>
      </c>
      <c r="G233" s="102">
        <v>204217.66</v>
      </c>
      <c r="H233" s="103">
        <v>497.66213501309295</v>
      </c>
      <c r="I233" s="104">
        <f t="shared" si="3"/>
        <v>410.35402461275714</v>
      </c>
    </row>
    <row r="234" spans="1:9" x14ac:dyDescent="0.35">
      <c r="A234" s="23">
        <v>9</v>
      </c>
      <c r="B234" s="100">
        <v>959</v>
      </c>
      <c r="C234" s="17">
        <v>6</v>
      </c>
      <c r="D234" s="22" t="s">
        <v>123</v>
      </c>
      <c r="E234" s="101">
        <v>129709.08</v>
      </c>
      <c r="F234" s="102">
        <v>0</v>
      </c>
      <c r="G234" s="102">
        <v>129709.08</v>
      </c>
      <c r="H234" s="103">
        <v>397.36171327000005</v>
      </c>
      <c r="I234" s="104">
        <f t="shared" si="3"/>
        <v>326.42571155783457</v>
      </c>
    </row>
    <row r="235" spans="1:9" x14ac:dyDescent="0.35">
      <c r="A235" s="23">
        <v>9</v>
      </c>
      <c r="B235" s="100">
        <v>967</v>
      </c>
      <c r="C235" s="17">
        <v>7</v>
      </c>
      <c r="D235" s="22" t="s">
        <v>187</v>
      </c>
      <c r="E235" s="101">
        <v>99984.01</v>
      </c>
      <c r="F235" s="102">
        <v>0</v>
      </c>
      <c r="G235" s="102">
        <v>99984.01</v>
      </c>
      <c r="H235" s="103">
        <v>180.04372698414895</v>
      </c>
      <c r="I235" s="104">
        <f t="shared" si="3"/>
        <v>555.3318167469539</v>
      </c>
    </row>
    <row r="236" spans="1:9" x14ac:dyDescent="0.35">
      <c r="A236" s="23">
        <v>9</v>
      </c>
      <c r="B236" s="100">
        <v>969</v>
      </c>
      <c r="C236" s="17">
        <v>6</v>
      </c>
      <c r="D236" s="22" t="s">
        <v>294</v>
      </c>
      <c r="E236" s="101">
        <v>91911.13</v>
      </c>
      <c r="F236" s="102">
        <v>0</v>
      </c>
      <c r="G236" s="102">
        <v>91911.13</v>
      </c>
      <c r="H236" s="103">
        <v>22.471584714266651</v>
      </c>
      <c r="I236" s="104">
        <f t="shared" si="3"/>
        <v>4090.1045105932344</v>
      </c>
    </row>
    <row r="237" spans="1:9" x14ac:dyDescent="0.35">
      <c r="A237" s="23">
        <v>9</v>
      </c>
      <c r="B237" s="100">
        <v>970</v>
      </c>
      <c r="C237" s="17">
        <v>6</v>
      </c>
      <c r="D237" s="22" t="s">
        <v>124</v>
      </c>
      <c r="E237" s="101">
        <v>75037.05</v>
      </c>
      <c r="F237" s="102">
        <v>280</v>
      </c>
      <c r="G237" s="102">
        <v>74757.05</v>
      </c>
      <c r="H237" s="103">
        <v>198.26881399507798</v>
      </c>
      <c r="I237" s="104">
        <f t="shared" si="3"/>
        <v>377.04895940849195</v>
      </c>
    </row>
    <row r="238" spans="1:9" x14ac:dyDescent="0.35">
      <c r="A238" s="23"/>
      <c r="B238" s="100">
        <v>971</v>
      </c>
      <c r="C238" s="17">
        <v>7</v>
      </c>
      <c r="D238" s="22" t="s">
        <v>188</v>
      </c>
      <c r="E238" s="101">
        <v>644373.35</v>
      </c>
      <c r="F238" s="102">
        <v>91228.23</v>
      </c>
      <c r="G238" s="102">
        <v>553145.12</v>
      </c>
      <c r="H238" s="103">
        <v>902.95999999999992</v>
      </c>
      <c r="I238" s="104">
        <f t="shared" si="3"/>
        <v>612.59094533534164</v>
      </c>
    </row>
    <row r="239" spans="1:9" x14ac:dyDescent="0.35">
      <c r="A239" s="23"/>
      <c r="B239" s="100">
        <v>973</v>
      </c>
      <c r="C239" s="17">
        <v>8</v>
      </c>
      <c r="D239" s="22" t="s">
        <v>240</v>
      </c>
      <c r="E239" s="101">
        <v>10476.32</v>
      </c>
      <c r="F239" s="102">
        <v>0</v>
      </c>
      <c r="G239" s="102">
        <v>10476.32</v>
      </c>
      <c r="H239" s="103">
        <v>9.270959398245834</v>
      </c>
      <c r="I239" s="104">
        <f t="shared" si="3"/>
        <v>1130.0146565178825</v>
      </c>
    </row>
    <row r="240" spans="1:9" x14ac:dyDescent="0.35">
      <c r="A240" s="23"/>
      <c r="B240" s="100">
        <v>974</v>
      </c>
      <c r="C240" s="17">
        <v>8</v>
      </c>
      <c r="D240" s="22" t="s">
        <v>241</v>
      </c>
      <c r="E240" s="101">
        <v>17413</v>
      </c>
      <c r="F240" s="102">
        <v>0</v>
      </c>
      <c r="G240" s="102">
        <v>17413</v>
      </c>
      <c r="H240" s="103">
        <v>13.39</v>
      </c>
      <c r="I240" s="104">
        <f t="shared" si="3"/>
        <v>1300.4480955937265</v>
      </c>
    </row>
    <row r="241" spans="1:9" x14ac:dyDescent="0.35">
      <c r="A241" s="23"/>
      <c r="B241" s="100">
        <v>975</v>
      </c>
      <c r="C241" s="17">
        <v>7</v>
      </c>
      <c r="D241" s="22" t="s">
        <v>189</v>
      </c>
      <c r="E241" s="101">
        <v>83056.259999999995</v>
      </c>
      <c r="F241" s="102">
        <v>0</v>
      </c>
      <c r="G241" s="102">
        <v>83056.259999999995</v>
      </c>
      <c r="H241" s="103">
        <v>19.552967743717307</v>
      </c>
      <c r="I241" s="104">
        <f t="shared" si="3"/>
        <v>4247.7572248175647</v>
      </c>
    </row>
    <row r="242" spans="1:9" x14ac:dyDescent="0.35">
      <c r="A242" s="23"/>
      <c r="B242" s="100">
        <v>976</v>
      </c>
      <c r="C242" s="17">
        <v>7</v>
      </c>
      <c r="D242" s="22" t="s">
        <v>295</v>
      </c>
      <c r="E242" s="101">
        <v>69846.58</v>
      </c>
      <c r="F242" s="102">
        <v>0</v>
      </c>
      <c r="G242" s="102">
        <v>69846.58</v>
      </c>
      <c r="H242" s="103">
        <v>16.321466792467358</v>
      </c>
      <c r="I242" s="104">
        <f t="shared" si="3"/>
        <v>4279.4303286660124</v>
      </c>
    </row>
    <row r="243" spans="1:9" x14ac:dyDescent="0.35">
      <c r="B243" s="100">
        <v>977</v>
      </c>
      <c r="C243" s="17">
        <v>7</v>
      </c>
      <c r="D243" s="22" t="s">
        <v>190</v>
      </c>
      <c r="E243" s="101">
        <v>71574.62</v>
      </c>
      <c r="F243" s="102">
        <v>0</v>
      </c>
      <c r="G243" s="102">
        <v>71574.62</v>
      </c>
      <c r="H243" s="103">
        <v>47.431154642315136</v>
      </c>
      <c r="I243" s="104">
        <f t="shared" si="3"/>
        <v>1509.0212443646808</v>
      </c>
    </row>
    <row r="244" spans="1:9" x14ac:dyDescent="0.35">
      <c r="B244" s="100">
        <v>978</v>
      </c>
      <c r="C244" s="17">
        <v>8</v>
      </c>
      <c r="D244" s="22" t="s">
        <v>242</v>
      </c>
      <c r="E244" s="101">
        <v>28437.82</v>
      </c>
      <c r="F244" s="102">
        <v>0</v>
      </c>
      <c r="G244" s="102">
        <v>28437.82</v>
      </c>
      <c r="H244" s="103">
        <v>27.087988365245032</v>
      </c>
      <c r="I244" s="104">
        <f t="shared" si="3"/>
        <v>1049.8313723615909</v>
      </c>
    </row>
    <row r="245" spans="1:9" x14ac:dyDescent="0.35">
      <c r="B245" s="100">
        <v>980</v>
      </c>
      <c r="C245" s="17">
        <v>6</v>
      </c>
      <c r="D245" s="22" t="s">
        <v>125</v>
      </c>
      <c r="E245" s="101">
        <v>40760.720000000001</v>
      </c>
      <c r="F245" s="102">
        <v>0</v>
      </c>
      <c r="G245" s="102">
        <v>40760.720000000001</v>
      </c>
      <c r="H245" s="103">
        <v>27.866291129542216</v>
      </c>
      <c r="I245" s="104">
        <f t="shared" si="3"/>
        <v>1462.7249751506351</v>
      </c>
    </row>
    <row r="246" spans="1:9" x14ac:dyDescent="0.35">
      <c r="B246" s="100">
        <v>981</v>
      </c>
      <c r="C246" s="17">
        <v>7</v>
      </c>
      <c r="D246" s="22" t="s">
        <v>191</v>
      </c>
      <c r="E246" s="101">
        <v>153688.72</v>
      </c>
      <c r="F246" s="102">
        <v>26749</v>
      </c>
      <c r="G246" s="102">
        <v>126939.72</v>
      </c>
      <c r="H246" s="103">
        <v>228.7088911462898</v>
      </c>
      <c r="I246" s="104">
        <f t="shared" si="3"/>
        <v>555.0274821576794</v>
      </c>
    </row>
    <row r="247" spans="1:9" x14ac:dyDescent="0.35">
      <c r="B247" s="100">
        <v>982</v>
      </c>
      <c r="C247" s="17">
        <v>9</v>
      </c>
      <c r="D247" s="22" t="s">
        <v>274</v>
      </c>
      <c r="E247" s="101">
        <v>117451.8</v>
      </c>
      <c r="F247" s="102">
        <v>0</v>
      </c>
      <c r="G247" s="102">
        <v>117451.8</v>
      </c>
      <c r="H247" s="103">
        <v>67.758123009401658</v>
      </c>
      <c r="I247" s="104">
        <f t="shared" si="3"/>
        <v>1733.3980751459599</v>
      </c>
    </row>
    <row r="248" spans="1:9" x14ac:dyDescent="0.35">
      <c r="B248" s="100">
        <v>983</v>
      </c>
      <c r="C248" s="17">
        <v>7</v>
      </c>
      <c r="D248" s="22" t="s">
        <v>192</v>
      </c>
      <c r="E248" s="101">
        <v>48719.55</v>
      </c>
      <c r="F248" s="102">
        <v>0</v>
      </c>
      <c r="G248" s="102">
        <v>48719.55</v>
      </c>
      <c r="H248" s="103">
        <v>54.732997336310582</v>
      </c>
      <c r="I248" s="104">
        <f t="shared" si="3"/>
        <v>890.13122560490251</v>
      </c>
    </row>
    <row r="249" spans="1:9" x14ac:dyDescent="0.35">
      <c r="B249" s="100">
        <v>984</v>
      </c>
      <c r="C249" s="17">
        <v>7</v>
      </c>
      <c r="D249" s="22" t="s">
        <v>193</v>
      </c>
      <c r="E249" s="101">
        <v>16433.05</v>
      </c>
      <c r="F249" s="102">
        <v>0</v>
      </c>
      <c r="G249" s="102">
        <v>16433.05</v>
      </c>
      <c r="H249" s="103">
        <v>21.299699528822721</v>
      </c>
      <c r="I249" s="104">
        <f t="shared" si="3"/>
        <v>771.51557831897208</v>
      </c>
    </row>
    <row r="250" spans="1:9" x14ac:dyDescent="0.35">
      <c r="B250" s="100">
        <v>985</v>
      </c>
      <c r="C250" s="17">
        <v>8</v>
      </c>
      <c r="D250" s="22" t="s">
        <v>243</v>
      </c>
      <c r="E250" s="101">
        <v>254362.88</v>
      </c>
      <c r="F250" s="102">
        <v>0</v>
      </c>
      <c r="G250" s="102">
        <v>254362.88</v>
      </c>
      <c r="H250" s="103">
        <v>56.686226041007984</v>
      </c>
      <c r="I250" s="104">
        <f t="shared" si="3"/>
        <v>4487.2078768480487</v>
      </c>
    </row>
    <row r="251" spans="1:9" x14ac:dyDescent="0.35">
      <c r="B251" s="100">
        <v>986</v>
      </c>
      <c r="C251" s="17">
        <v>6</v>
      </c>
      <c r="D251" s="22" t="s">
        <v>126</v>
      </c>
      <c r="E251" s="101">
        <v>44331</v>
      </c>
      <c r="F251" s="102">
        <v>0</v>
      </c>
      <c r="G251" s="102">
        <v>44331</v>
      </c>
      <c r="H251" s="103">
        <v>8.3247874102767128</v>
      </c>
      <c r="I251" s="104">
        <f>IFERROR(G251/H251,0)</f>
        <v>5325.1810304818891</v>
      </c>
    </row>
    <row r="252" spans="1:9" x14ac:dyDescent="0.35">
      <c r="B252" s="100">
        <v>987</v>
      </c>
      <c r="C252" s="17">
        <v>9</v>
      </c>
      <c r="D252" s="22" t="s">
        <v>275</v>
      </c>
      <c r="E252" s="101">
        <v>102469.64</v>
      </c>
      <c r="F252" s="102">
        <v>0</v>
      </c>
      <c r="G252" s="102">
        <v>102469.64</v>
      </c>
      <c r="H252" s="103">
        <v>330.67110027386104</v>
      </c>
      <c r="I252" s="104">
        <f>IFERROR(G252/H252,0)</f>
        <v>309.88386924389488</v>
      </c>
    </row>
    <row r="253" spans="1:9" x14ac:dyDescent="0.35">
      <c r="B253" s="100">
        <v>988</v>
      </c>
      <c r="C253" s="17">
        <v>6</v>
      </c>
      <c r="D253" s="22" t="s">
        <v>127</v>
      </c>
      <c r="E253" s="101">
        <v>133216.54999999999</v>
      </c>
      <c r="F253" s="102">
        <v>0</v>
      </c>
      <c r="G253" s="102">
        <v>133216.54999999999</v>
      </c>
      <c r="H253" s="103">
        <v>139.37355407721697</v>
      </c>
      <c r="I253" s="104">
        <f>IFERROR(G253/H253,0)</f>
        <v>955.82372769366407</v>
      </c>
    </row>
    <row r="254" spans="1:9" x14ac:dyDescent="0.35">
      <c r="B254" s="100">
        <v>989</v>
      </c>
      <c r="C254" s="17">
        <v>6</v>
      </c>
      <c r="D254" s="22" t="s">
        <v>128</v>
      </c>
      <c r="E254" s="101">
        <v>181368.27</v>
      </c>
      <c r="F254" s="102">
        <v>6553.83</v>
      </c>
      <c r="G254" s="102">
        <v>174814.44</v>
      </c>
      <c r="H254" s="103">
        <v>122.45296824942317</v>
      </c>
      <c r="I254" s="104">
        <f>IFERROR(G254/H254,0)</f>
        <v>1427.6047571498823</v>
      </c>
    </row>
    <row r="255" spans="1:9" x14ac:dyDescent="0.35">
      <c r="B255" s="100"/>
      <c r="C255" s="17"/>
      <c r="D255" s="22"/>
      <c r="E255" s="101"/>
      <c r="F255" s="102"/>
      <c r="G255" s="102"/>
      <c r="H255" s="103"/>
      <c r="I255" s="104"/>
    </row>
    <row r="256" spans="1:9" x14ac:dyDescent="0.35">
      <c r="B256" s="100"/>
      <c r="C256" s="17"/>
      <c r="D256" s="22"/>
      <c r="E256" s="101"/>
      <c r="F256" s="102"/>
      <c r="G256" s="102"/>
      <c r="H256" s="103"/>
      <c r="I256" s="104"/>
    </row>
    <row r="257" spans="2:9" x14ac:dyDescent="0.35">
      <c r="B257" s="100"/>
      <c r="C257" s="17"/>
      <c r="D257" s="22"/>
      <c r="E257" s="101"/>
      <c r="F257" s="102"/>
      <c r="G257" s="102"/>
      <c r="H257" s="103"/>
      <c r="I257" s="104"/>
    </row>
  </sheetData>
  <autoFilter ref="B4:I4" xr:uid="{00000000-0001-0000-0200-000000000000}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FBEA-ACAB-4312-B805-486515686B68}">
  <sheetPr codeName="Sheet7">
    <tabColor rgb="FFFFCCFF"/>
  </sheetPr>
  <dimension ref="B1:AG278"/>
  <sheetViews>
    <sheetView topLeftCell="N1" workbookViewId="0">
      <selection activeCell="W23" sqref="W23"/>
    </sheetView>
  </sheetViews>
  <sheetFormatPr defaultRowHeight="14.5" x14ac:dyDescent="0.35"/>
  <cols>
    <col min="1" max="1" width="5.7265625" customWidth="1"/>
    <col min="2" max="2" width="11.453125" style="1" customWidth="1"/>
    <col min="3" max="3" width="13.7265625" style="1" customWidth="1"/>
    <col min="4" max="4" width="47.26953125" customWidth="1"/>
    <col min="5" max="7" width="16.26953125" customWidth="1"/>
    <col min="8" max="24" width="14.7265625" customWidth="1"/>
    <col min="25" max="25" width="17.453125" customWidth="1"/>
    <col min="26" max="26" width="20.7265625" customWidth="1"/>
    <col min="27" max="27" width="22.7265625" customWidth="1"/>
    <col min="28" max="28" width="5.7265625" customWidth="1"/>
    <col min="29" max="32" width="21" customWidth="1"/>
    <col min="33" max="33" width="7.7265625" customWidth="1"/>
    <col min="34" max="36" width="12.7265625" customWidth="1"/>
  </cols>
  <sheetData>
    <row r="1" spans="2:25" ht="58.5" customHeight="1" thickBot="1" x14ac:dyDescent="0.4">
      <c r="D1" s="24"/>
    </row>
    <row r="2" spans="2:25" ht="44" thickBot="1" x14ac:dyDescent="0.4">
      <c r="B2" s="130" t="s">
        <v>308</v>
      </c>
      <c r="C2" s="131"/>
      <c r="D2" s="131"/>
      <c r="E2" s="131"/>
      <c r="F2" s="131"/>
      <c r="G2" s="131"/>
      <c r="H2" s="131"/>
      <c r="I2" s="131"/>
      <c r="J2" s="131"/>
      <c r="K2" s="132"/>
      <c r="L2" s="84"/>
      <c r="M2" s="84"/>
      <c r="N2" s="25"/>
      <c r="O2" s="25"/>
      <c r="P2" s="25"/>
      <c r="R2" s="26" t="s">
        <v>309</v>
      </c>
      <c r="S2" s="10">
        <v>0.9</v>
      </c>
      <c r="T2" s="72" t="s">
        <v>310</v>
      </c>
      <c r="U2" s="72" t="s">
        <v>311</v>
      </c>
      <c r="V2" s="72" t="s">
        <v>312</v>
      </c>
      <c r="W2" s="16"/>
    </row>
    <row r="3" spans="2:25" ht="15" thickBot="1" x14ac:dyDescent="0.4">
      <c r="B3" s="15"/>
      <c r="N3" s="25"/>
      <c r="O3" s="25"/>
      <c r="P3" s="25"/>
      <c r="S3" s="27">
        <v>1</v>
      </c>
      <c r="T3" s="92" cm="1">
        <f t="array" ref="T3">SUMPRODUCT(--($C$26:$C$300=$S3),$F$26:$F$300)</f>
        <v>310613.81000000006</v>
      </c>
      <c r="U3" s="28">
        <f>INDEX('Revised 2020 MFAM Cost Bands'!M$6:M$300,MATCH(S3,'Revised 2020 MFAM Cost Bands'!C$6:C$300,0))</f>
        <v>502.79727842751083</v>
      </c>
      <c r="V3" s="61">
        <f>INDEX('Revised 2020 MFAM Cost Bands'!R$6:R$300,MATCH(S3,'Revised 2020 MFAM Cost Bands'!C$6:C$300,0))</f>
        <v>640.17815211825337</v>
      </c>
      <c r="W3" s="83"/>
    </row>
    <row r="4" spans="2:25" x14ac:dyDescent="0.35">
      <c r="D4" s="141" t="s">
        <v>313</v>
      </c>
      <c r="E4" s="142"/>
      <c r="F4" s="142"/>
      <c r="G4" s="143"/>
      <c r="H4" s="123"/>
      <c r="I4" s="123"/>
      <c r="J4" s="123"/>
      <c r="K4" s="123"/>
      <c r="L4" s="67"/>
      <c r="M4" s="67"/>
      <c r="N4" s="25"/>
      <c r="O4" s="25"/>
      <c r="P4" s="25"/>
      <c r="S4" s="34">
        <v>2</v>
      </c>
      <c r="T4" s="90" cm="1">
        <f t="array" ref="T4">SUMPRODUCT(--($C$26:$C$300=$S4),$F$26:$F$300)</f>
        <v>211941.69639999999</v>
      </c>
      <c r="U4" s="6">
        <f>INDEX('Revised 2020 MFAM Cost Bands'!M$6:M$300,MATCH(S4,'Revised 2020 MFAM Cost Bands'!C$6:C$300,0))</f>
        <v>315.77459016695877</v>
      </c>
      <c r="V4" s="73">
        <f>INDEX('Revised 2020 MFAM Cost Bands'!R$6:R$300,MATCH(S4,'Revised 2020 MFAM Cost Bands'!C$6:C$300,0))</f>
        <v>452.85445014437244</v>
      </c>
      <c r="W4" s="83"/>
    </row>
    <row r="5" spans="2:25" x14ac:dyDescent="0.35">
      <c r="D5" s="112"/>
      <c r="E5" s="119"/>
      <c r="F5" s="119"/>
      <c r="G5" s="117"/>
      <c r="H5" s="119"/>
      <c r="I5" s="119"/>
      <c r="J5" s="119"/>
      <c r="K5" s="119"/>
      <c r="L5" s="36"/>
      <c r="M5" s="36"/>
      <c r="N5" s="38"/>
      <c r="O5" s="38"/>
      <c r="P5" s="38"/>
      <c r="S5" s="34">
        <v>3</v>
      </c>
      <c r="T5" s="90" cm="1">
        <f t="array" ref="T5">SUMPRODUCT(--($C$26:$C$300=$S5),$F$26:$F$300)</f>
        <v>43043.87</v>
      </c>
      <c r="U5" s="6">
        <f>INDEX('Revised 2020 MFAM Cost Bands'!M$6:M$300,MATCH(S5,'Revised 2020 MFAM Cost Bands'!C$6:C$300,0))</f>
        <v>423.21962221333717</v>
      </c>
      <c r="V5" s="73">
        <f>INDEX('Revised 2020 MFAM Cost Bands'!R$6:R$300,MATCH(S5,'Revised 2020 MFAM Cost Bands'!C$6:C$300,0))</f>
        <v>788.08317794910727</v>
      </c>
      <c r="W5" s="83"/>
    </row>
    <row r="6" spans="2:25" x14ac:dyDescent="0.35">
      <c r="D6" s="39" t="s">
        <v>2</v>
      </c>
      <c r="E6" s="94">
        <v>152132760.55000001</v>
      </c>
      <c r="F6" s="94"/>
      <c r="G6" s="120"/>
      <c r="H6" s="16"/>
      <c r="I6" s="16"/>
      <c r="J6" s="16"/>
      <c r="K6" s="16"/>
      <c r="L6" s="16"/>
      <c r="M6" s="16"/>
      <c r="N6" s="38"/>
      <c r="O6" s="38"/>
      <c r="P6" s="38"/>
      <c r="S6" s="34">
        <v>4</v>
      </c>
      <c r="T6" s="90" cm="1">
        <f t="array" ref="T6">SUMPRODUCT(--($C$26:$C$300=$S6),$F$26:$F$300)</f>
        <v>91847.375200000009</v>
      </c>
      <c r="U6" s="6">
        <f>INDEX('Revised 2020 MFAM Cost Bands'!M$6:M$300,MATCH(S6,'Revised 2020 MFAM Cost Bands'!C$6:C$300,0))</f>
        <v>491.35283770199663</v>
      </c>
      <c r="V6" s="73">
        <f>INDEX('Revised 2020 MFAM Cost Bands'!R$6:R$300,MATCH(S6,'Revised 2020 MFAM Cost Bands'!C$6:C$300,0))</f>
        <v>696.61159504546504</v>
      </c>
      <c r="W6" s="83"/>
    </row>
    <row r="7" spans="2:25" x14ac:dyDescent="0.35">
      <c r="D7" s="39"/>
      <c r="E7" s="16"/>
      <c r="F7" s="16"/>
      <c r="G7" s="30"/>
      <c r="H7" s="16"/>
      <c r="I7" s="16"/>
      <c r="J7" s="16"/>
      <c r="K7" s="16"/>
      <c r="L7" s="16"/>
      <c r="M7" s="16"/>
      <c r="N7" s="38"/>
      <c r="O7" s="38"/>
      <c r="P7" s="38"/>
      <c r="S7" s="34">
        <v>5</v>
      </c>
      <c r="T7" s="90" cm="1">
        <f t="array" ref="T7">SUMPRODUCT(--($C$26:$C$300=$S7),$F$26:$F$300)</f>
        <v>17405.252165768179</v>
      </c>
      <c r="U7" s="6">
        <f>INDEX('Revised 2020 MFAM Cost Bands'!M$6:M$300,MATCH(S7,'Revised 2020 MFAM Cost Bands'!C$6:C$300,0))</f>
        <v>347.83707023257591</v>
      </c>
      <c r="V7" s="73">
        <f>INDEX('Revised 2020 MFAM Cost Bands'!R$6:R$300,MATCH(S7,'Revised 2020 MFAM Cost Bands'!C$6:C$300,0))</f>
        <v>537.91823507791537</v>
      </c>
      <c r="W7" s="83"/>
    </row>
    <row r="8" spans="2:25" x14ac:dyDescent="0.35">
      <c r="D8" s="39" t="s">
        <v>314</v>
      </c>
      <c r="E8" s="95">
        <v>-2870490.72</v>
      </c>
      <c r="F8" s="95"/>
      <c r="G8" s="121"/>
      <c r="H8" s="40"/>
      <c r="I8" s="40"/>
      <c r="J8" s="40"/>
      <c r="K8" s="16"/>
      <c r="L8" s="16"/>
      <c r="M8" s="16"/>
      <c r="N8" s="38"/>
      <c r="O8" s="38"/>
      <c r="P8" s="38"/>
      <c r="S8" s="34">
        <v>6</v>
      </c>
      <c r="T8" s="90" cm="1">
        <f t="array" ref="T8">SUMPRODUCT(--($C$26:$C$300=$S8),$F$26:$F$300)</f>
        <v>9635.958432129346</v>
      </c>
      <c r="U8" s="6">
        <f>INDEX('Revised 2020 MFAM Cost Bands'!M$6:M$300,MATCH(S8,'Revised 2020 MFAM Cost Bands'!C$6:C$300,0))</f>
        <v>809.62205731267716</v>
      </c>
      <c r="V8" s="73">
        <f>INDEX('Revised 2020 MFAM Cost Bands'!R$6:R$300,MATCH(S8,'Revised 2020 MFAM Cost Bands'!C$6:C$300,0))</f>
        <v>1517.4271794836054</v>
      </c>
      <c r="W8" s="83"/>
    </row>
    <row r="9" spans="2:25" x14ac:dyDescent="0.35">
      <c r="D9" s="39" t="s">
        <v>315</v>
      </c>
      <c r="E9" s="40">
        <v>0</v>
      </c>
      <c r="F9" s="40"/>
      <c r="G9" s="122"/>
      <c r="N9" s="38"/>
      <c r="O9" s="38"/>
      <c r="P9" s="38"/>
      <c r="S9" s="34">
        <v>7</v>
      </c>
      <c r="T9" s="90" cm="1">
        <f t="array" ref="T9">SUMPRODUCT(--($C$26:$C$300=$S9),$F$26:$F$300)</f>
        <v>35660.260967239621</v>
      </c>
      <c r="U9" s="6">
        <f>INDEX('Revised 2020 MFAM Cost Bands'!M$6:M$300,MATCH(S9,'Revised 2020 MFAM Cost Bands'!C$6:C$300,0))</f>
        <v>542.01839206271461</v>
      </c>
      <c r="V9" s="73">
        <f>INDEX('Revised 2020 MFAM Cost Bands'!R$6:R$300,MATCH(S9,'Revised 2020 MFAM Cost Bands'!C$6:C$300,0))</f>
        <v>782.61515726829293</v>
      </c>
      <c r="W9" s="83"/>
    </row>
    <row r="10" spans="2:25" ht="15" thickBot="1" x14ac:dyDescent="0.4">
      <c r="D10" s="39" t="s">
        <v>316</v>
      </c>
      <c r="E10" s="86">
        <f>E6+E8+E9</f>
        <v>149262269.83000001</v>
      </c>
      <c r="F10" s="16"/>
      <c r="G10" s="30"/>
      <c r="H10" s="16"/>
      <c r="I10" s="16"/>
      <c r="J10" s="16"/>
      <c r="K10" s="16"/>
      <c r="L10" s="16"/>
      <c r="M10" s="16"/>
      <c r="N10" s="38"/>
      <c r="O10" s="38"/>
      <c r="P10" s="38"/>
      <c r="S10" s="34">
        <v>8</v>
      </c>
      <c r="T10" s="90" cm="1">
        <f t="array" ref="T10">SUMPRODUCT(--($C$26:$C$300=$S10),$F$26:$F$300)</f>
        <v>3936.7308518236446</v>
      </c>
      <c r="U10" s="6">
        <f>INDEX('Revised 2020 MFAM Cost Bands'!M$6:M$300,MATCH(S10,'Revised 2020 MFAM Cost Bands'!C$6:C$300,0))</f>
        <v>1033.7097310360653</v>
      </c>
      <c r="V10" s="73">
        <f>INDEX('Revised 2020 MFAM Cost Bands'!R$6:R$300,MATCH(S10,'Revised 2020 MFAM Cost Bands'!C$6:C$300,0))</f>
        <v>1830.1017274062599</v>
      </c>
      <c r="W10" s="83"/>
    </row>
    <row r="11" spans="2:25" ht="15.5" thickTop="1" thickBot="1" x14ac:dyDescent="0.4">
      <c r="D11" s="39" t="s">
        <v>317</v>
      </c>
      <c r="E11" s="16">
        <f>E10-E9</f>
        <v>149262269.83000001</v>
      </c>
      <c r="F11" s="16"/>
      <c r="G11" s="30"/>
      <c r="H11" s="41"/>
      <c r="I11" s="41"/>
      <c r="J11" s="41"/>
      <c r="K11" s="16"/>
      <c r="L11" s="16"/>
      <c r="M11" s="16"/>
      <c r="N11" s="38"/>
      <c r="O11" s="38"/>
      <c r="P11" s="38"/>
      <c r="S11" s="42">
        <v>9</v>
      </c>
      <c r="T11" s="93" cm="1">
        <f t="array" ref="T11">SUMPRODUCT(--($C$26:$C$300=$S11),$F$26:$F$300)</f>
        <v>6756.9261997956401</v>
      </c>
      <c r="U11" s="44">
        <f>INDEX('Revised 2020 MFAM Cost Bands'!M$6:M$300,MATCH(S11,'Revised 2020 MFAM Cost Bands'!C$6:C$300,0))</f>
        <v>830.76761000731028</v>
      </c>
      <c r="V11" s="74">
        <f>INDEX('Revised 2020 MFAM Cost Bands'!R$6:R$300,MATCH(S11,'Revised 2020 MFAM Cost Bands'!C$6:C$300,0))</f>
        <v>1695.4343716100057</v>
      </c>
      <c r="W11" s="83"/>
    </row>
    <row r="12" spans="2:25" x14ac:dyDescent="0.35">
      <c r="D12" s="29"/>
      <c r="E12" s="16"/>
      <c r="F12" s="16"/>
      <c r="G12" s="30"/>
      <c r="S12" s="25"/>
      <c r="T12" s="25"/>
      <c r="Y12" s="45"/>
    </row>
    <row r="13" spans="2:25" x14ac:dyDescent="0.35">
      <c r="D13" s="144" t="s">
        <v>318</v>
      </c>
      <c r="E13" s="145"/>
      <c r="F13" s="145"/>
      <c r="G13" s="146"/>
      <c r="H13" s="118"/>
      <c r="I13" s="118"/>
      <c r="J13" s="118"/>
      <c r="K13" s="118"/>
      <c r="L13" s="36"/>
      <c r="M13" s="36"/>
      <c r="N13" s="38"/>
      <c r="O13" s="38"/>
      <c r="P13" s="38"/>
      <c r="R13" s="12"/>
      <c r="S13" s="25"/>
      <c r="T13" s="25"/>
      <c r="U13" s="25"/>
    </row>
    <row r="14" spans="2:25" x14ac:dyDescent="0.35">
      <c r="D14" s="39" t="s">
        <v>319</v>
      </c>
      <c r="E14" s="16">
        <f>$E$11*G14</f>
        <v>74631134.915000007</v>
      </c>
      <c r="F14" s="16"/>
      <c r="G14" s="46">
        <v>0.5</v>
      </c>
      <c r="H14" s="12"/>
      <c r="I14" s="12"/>
      <c r="J14" s="12"/>
      <c r="L14" s="68"/>
      <c r="M14" s="68"/>
      <c r="N14" s="25"/>
      <c r="O14" s="25"/>
      <c r="P14" s="25"/>
      <c r="Q14" s="25"/>
      <c r="R14" s="25"/>
      <c r="S14" s="25"/>
    </row>
    <row r="15" spans="2:25" x14ac:dyDescent="0.35">
      <c r="D15" s="39" t="s">
        <v>320</v>
      </c>
      <c r="E15" s="16">
        <f>$E$11*G15</f>
        <v>52241794.440499999</v>
      </c>
      <c r="F15">
        <f>E15/E19</f>
        <v>71.481664987515359</v>
      </c>
      <c r="G15" s="46">
        <v>0.35</v>
      </c>
      <c r="I15" s="2"/>
      <c r="J15" s="2"/>
      <c r="L15" s="68"/>
      <c r="M15" s="68"/>
      <c r="N15" s="25"/>
      <c r="O15" s="25"/>
      <c r="P15" s="25"/>
      <c r="Q15" s="25"/>
      <c r="R15" s="25"/>
      <c r="S15" s="25"/>
      <c r="T15" t="s">
        <v>321</v>
      </c>
    </row>
    <row r="16" spans="2:25" x14ac:dyDescent="0.35">
      <c r="D16" s="39" t="s">
        <v>322</v>
      </c>
      <c r="E16" s="87">
        <f>$E$11*G16</f>
        <v>22389340.4745</v>
      </c>
      <c r="F16" s="16"/>
      <c r="G16" s="46">
        <v>0.15</v>
      </c>
      <c r="H16" s="12"/>
      <c r="I16" s="12"/>
      <c r="J16" s="12"/>
      <c r="L16" s="68"/>
      <c r="M16" s="68"/>
      <c r="N16" s="25"/>
      <c r="O16" s="25"/>
      <c r="P16" s="25"/>
      <c r="Q16" s="25"/>
      <c r="R16" s="25"/>
      <c r="S16" s="25"/>
      <c r="T16" s="47"/>
    </row>
    <row r="17" spans="2:33" ht="15" thickBot="1" x14ac:dyDescent="0.4">
      <c r="D17" s="39" t="s">
        <v>323</v>
      </c>
      <c r="E17" s="88">
        <f>E14+E15+E16</f>
        <v>149262269.83000001</v>
      </c>
      <c r="F17" s="16"/>
      <c r="G17" s="30"/>
      <c r="H17" s="12"/>
      <c r="I17" s="12"/>
      <c r="J17" s="12"/>
      <c r="K17" s="12"/>
      <c r="L17" s="12"/>
      <c r="M17" s="12"/>
      <c r="N17" s="25"/>
      <c r="O17" s="25"/>
      <c r="P17" s="25"/>
      <c r="Q17" s="25"/>
      <c r="R17" s="25"/>
      <c r="S17" s="25"/>
      <c r="U17" s="10">
        <v>0.5</v>
      </c>
      <c r="V17" s="10">
        <v>0.35</v>
      </c>
      <c r="W17" s="10">
        <v>0.15</v>
      </c>
      <c r="X17" s="10"/>
    </row>
    <row r="18" spans="2:33" ht="15.5" thickTop="1" thickBot="1" x14ac:dyDescent="0.4">
      <c r="D18" s="29"/>
      <c r="E18" s="12"/>
      <c r="F18" s="12"/>
      <c r="G18" s="48"/>
      <c r="H18" s="12"/>
      <c r="I18" s="12"/>
      <c r="J18" s="12"/>
      <c r="K18" s="12"/>
      <c r="L18" s="12"/>
      <c r="M18" s="12"/>
      <c r="N18" s="16"/>
      <c r="O18" s="16"/>
      <c r="P18" s="16"/>
      <c r="T18" s="25"/>
      <c r="U18" s="136" t="str">
        <f>"Model Funding Distribution Basis:   "&amp;TEXT(U17,"#,##0%")&amp;" Adjusted Net Costs, "&amp;TEXT(V17,"#,##0%")&amp;" Recovered Tonnage, "&amp;TEXT(W17,"#,##0%")&amp;" BP"</f>
        <v>Model Funding Distribution Basis:   50% Adjusted Net Costs, 35% Recovered Tonnage, 15% BP</v>
      </c>
      <c r="V18" s="137"/>
      <c r="W18" s="137"/>
      <c r="X18" s="137"/>
      <c r="Y18" s="137"/>
      <c r="Z18" s="137"/>
      <c r="AA18" s="138"/>
      <c r="AB18" s="49"/>
    </row>
    <row r="19" spans="2:33" ht="15" thickBot="1" x14ac:dyDescent="0.4">
      <c r="D19" s="50" t="s">
        <v>324</v>
      </c>
      <c r="E19" s="93">
        <f>F24</f>
        <v>730841.88021675625</v>
      </c>
      <c r="F19" s="43"/>
      <c r="G19" s="51"/>
      <c r="N19" s="16"/>
      <c r="O19" s="16"/>
      <c r="P19" s="16"/>
      <c r="T19" s="25"/>
      <c r="U19" s="75"/>
      <c r="V19" s="76"/>
      <c r="W19" s="76"/>
      <c r="X19" s="76"/>
      <c r="Y19" s="76"/>
      <c r="Z19" s="77">
        <f>75%</f>
        <v>0.75</v>
      </c>
      <c r="AA19" s="81" cm="1">
        <f t="array" ref="AA19">SUMPRODUCT(--(Z$26:Z$300&lt;Z$19-0.5%),Y$26:Y$300)</f>
        <v>149096936.48268953</v>
      </c>
      <c r="AB19" s="52"/>
    </row>
    <row r="20" spans="2:33" x14ac:dyDescent="0.35">
      <c r="N20" s="16"/>
      <c r="O20" s="16"/>
      <c r="P20" s="16"/>
      <c r="U20" s="79"/>
      <c r="V20" s="78"/>
      <c r="W20" s="78"/>
      <c r="X20" s="78"/>
      <c r="Y20" s="78"/>
      <c r="Z20" s="78"/>
      <c r="AA20" s="81"/>
      <c r="AB20" s="52"/>
    </row>
    <row r="21" spans="2:33" x14ac:dyDescent="0.35">
      <c r="N21" s="16"/>
      <c r="O21" s="16"/>
      <c r="P21" s="16"/>
      <c r="U21" s="79"/>
      <c r="V21" s="78"/>
      <c r="W21" s="78"/>
      <c r="X21" s="78"/>
      <c r="Y21" s="78"/>
      <c r="Z21" s="78"/>
      <c r="AA21" s="81"/>
      <c r="AB21" s="52"/>
    </row>
    <row r="22" spans="2:33" x14ac:dyDescent="0.35">
      <c r="N22" s="16"/>
      <c r="O22" s="16"/>
      <c r="P22" s="16"/>
      <c r="Q22" s="53">
        <f>SMALL(Q26:Q266,5)</f>
        <v>194.83608834199859</v>
      </c>
      <c r="U22" s="79"/>
      <c r="V22" s="78"/>
      <c r="W22" s="80"/>
      <c r="X22" s="80"/>
      <c r="Y22" s="80"/>
      <c r="Z22" s="78" cm="1">
        <f t="array" ref="Z22">SUMPRODUCT(--($Z$26:$Z$300&lt;Z19),Y26:Y300)</f>
        <v>149096936.48268953</v>
      </c>
      <c r="AA22" s="81" cm="1">
        <f t="array" ref="AA22">SUMPRODUCT(--(Z$26:Z$300&gt;Z$19),Y$26:Y$300)-SUMPRODUCT(--(Z$26:Z$300&gt;Z$19),$S$26:$S$300)*Z$19</f>
        <v>4673.1323104684998</v>
      </c>
      <c r="AB22" s="52"/>
      <c r="AC22" s="105"/>
    </row>
    <row r="23" spans="2:33" ht="15" thickBot="1" x14ac:dyDescent="0.4">
      <c r="N23" s="12"/>
      <c r="O23" s="12"/>
      <c r="P23" s="12"/>
      <c r="Q23" s="53">
        <f>LARGE(Q26:Q266,5)</f>
        <v>3765.4720184997923</v>
      </c>
      <c r="S23" s="53">
        <v>244990724.68231803</v>
      </c>
      <c r="U23" s="79"/>
      <c r="V23" s="78"/>
      <c r="W23" s="78">
        <f>E16-W24</f>
        <v>3918052.4316804856</v>
      </c>
      <c r="X23" s="80"/>
      <c r="Y23" s="80"/>
      <c r="Z23" s="78" cm="1">
        <f t="array" ref="Z23">SUMPRODUCT(--($Z$26:$Z$300&gt;$Z$19),$Y$26:$Y$300)-$Z$19*SUMPRODUCT(--($Z$26:$Z$300&gt;$Z$19),$S$26:$S$300)</f>
        <v>4673.1323104684998</v>
      </c>
      <c r="AA23" s="81">
        <f>SUM(AA26:AA300)</f>
        <v>149262269.8300001</v>
      </c>
      <c r="AB23" s="52"/>
      <c r="AC23" s="59"/>
    </row>
    <row r="24" spans="2:33" ht="15" thickBot="1" x14ac:dyDescent="0.4">
      <c r="E24" s="90">
        <f t="shared" ref="E24:P24" si="0">SUM(E26:E300)</f>
        <v>729906.48724807648</v>
      </c>
      <c r="F24" s="90">
        <f t="shared" si="0"/>
        <v>730841.88021675625</v>
      </c>
      <c r="G24" s="90">
        <f t="shared" si="0"/>
        <v>935.39296867987605</v>
      </c>
      <c r="H24" s="12">
        <f t="shared" si="0"/>
        <v>383550745.09000021</v>
      </c>
      <c r="I24" s="12">
        <f>SUM(I26:I300)</f>
        <v>384374036.62000006</v>
      </c>
      <c r="J24" s="12">
        <f t="shared" si="0"/>
        <v>823291.52999999491</v>
      </c>
      <c r="K24" s="12">
        <f t="shared" si="0"/>
        <v>55390218.039999977</v>
      </c>
      <c r="L24" s="12">
        <f t="shared" si="0"/>
        <v>55058911.009999968</v>
      </c>
      <c r="M24" s="12">
        <f t="shared" si="0"/>
        <v>-331307.0300000002</v>
      </c>
      <c r="N24" s="12">
        <f t="shared" si="0"/>
        <v>328160527.05000001</v>
      </c>
      <c r="O24" s="12">
        <f t="shared" si="0"/>
        <v>329315125.61000001</v>
      </c>
      <c r="P24" s="12">
        <f t="shared" si="0"/>
        <v>1154598.5599999945</v>
      </c>
      <c r="Q24" s="12"/>
      <c r="R24" t="s">
        <v>325</v>
      </c>
      <c r="S24" s="12">
        <f>SUM(S26:S300)</f>
        <v>323609140.1265142</v>
      </c>
      <c r="T24" s="12"/>
      <c r="U24" s="54">
        <f>SUM(U26:U300)</f>
        <v>74631134.915000021</v>
      </c>
      <c r="V24" s="55">
        <f>SUM(V26:V300)</f>
        <v>52241794.440500036</v>
      </c>
      <c r="W24" s="55">
        <f>IFERROR(SUM(W26:W300),0)</f>
        <v>18471288.042819515</v>
      </c>
      <c r="X24" s="55">
        <f>SUM(X26:X300)</f>
        <v>3918052.4316804865</v>
      </c>
      <c r="Y24" s="55">
        <f>SUM(Y26:Y300)</f>
        <v>149262269.83000001</v>
      </c>
      <c r="Z24" s="139" t="str">
        <f xml:space="preserve"> "Limit: "&amp;TEXT(Z19,"#,##0.0%")&amp;" of Filtered Net Cost"</f>
        <v>Limit: 75.0% of Filtered Net Cost</v>
      </c>
      <c r="AA24" s="140"/>
      <c r="AB24" s="49"/>
      <c r="AC24" s="96">
        <f>SUM(AC26:AC300)</f>
        <v>149262269.83000007</v>
      </c>
      <c r="AD24" s="96">
        <f>SUM(AD26:AD300)</f>
        <v>-4.2714873416116461E-8</v>
      </c>
      <c r="AE24" s="96">
        <f>SUM(AE26:AE300)</f>
        <v>4.4951775635126978E-8</v>
      </c>
      <c r="AF24" s="96">
        <f>SUM(AF26:AF300)</f>
        <v>-8.7658463598927483E-8</v>
      </c>
    </row>
    <row r="25" spans="2:33" s="89" customFormat="1" ht="44" thickBot="1" x14ac:dyDescent="0.4">
      <c r="B25" s="64" t="s">
        <v>6</v>
      </c>
      <c r="C25" s="64" t="s">
        <v>7</v>
      </c>
      <c r="D25" s="64" t="s">
        <v>8</v>
      </c>
      <c r="E25" s="65" t="s">
        <v>326</v>
      </c>
      <c r="F25" s="69" t="s">
        <v>327</v>
      </c>
      <c r="G25" s="70" t="s">
        <v>283</v>
      </c>
      <c r="H25" s="65" t="s">
        <v>328</v>
      </c>
      <c r="I25" s="69" t="s">
        <v>329</v>
      </c>
      <c r="J25" s="70" t="s">
        <v>283</v>
      </c>
      <c r="K25" s="65" t="s">
        <v>330</v>
      </c>
      <c r="L25" s="69" t="s">
        <v>331</v>
      </c>
      <c r="M25" s="70" t="s">
        <v>283</v>
      </c>
      <c r="N25" s="65" t="s">
        <v>332</v>
      </c>
      <c r="O25" s="69" t="s">
        <v>333</v>
      </c>
      <c r="P25" s="70" t="s">
        <v>283</v>
      </c>
      <c r="Q25" s="65" t="s">
        <v>13</v>
      </c>
      <c r="R25" s="65" t="s">
        <v>334</v>
      </c>
      <c r="S25" s="65" t="str">
        <f>"Adjusted Net Cost"&amp;CHAR(10)&amp;TEXT(SUM(S26:S299),"$#,##0")</f>
        <v>Adjusted Net Cost
$323,609,140</v>
      </c>
      <c r="T25" s="65" t="s">
        <v>335</v>
      </c>
      <c r="U25" s="65" t="s">
        <v>336</v>
      </c>
      <c r="V25" s="65" t="s">
        <v>337</v>
      </c>
      <c r="W25" s="66" t="s">
        <v>338</v>
      </c>
      <c r="X25" s="65" t="s">
        <v>339</v>
      </c>
      <c r="Y25" s="65" t="str">
        <f>"Subtotal Funding Net of CIF"&amp;CHAR(10)&amp;TEXT(SUM(Y26:Y299),"$#,##0")</f>
        <v>Subtotal Funding Net of CIF
$149,262,270</v>
      </c>
      <c r="Z25" s="66" t="s">
        <v>340</v>
      </c>
      <c r="AA25" s="65" t="str">
        <f>"Total 2019 Adjusted Payment"&amp;CHAR(10)&amp;TEXT(SUM($AA$26:$AA$299),"$#,##0;(-$#,##0)")</f>
        <v>Total 2019 Adjusted Payment
$149,262,270</v>
      </c>
      <c r="AB25" s="57"/>
      <c r="AC25" s="71" t="s">
        <v>341</v>
      </c>
      <c r="AD25" s="71" t="s">
        <v>342</v>
      </c>
      <c r="AE25" s="71" t="s">
        <v>343</v>
      </c>
      <c r="AF25" s="71" t="s">
        <v>19</v>
      </c>
    </row>
    <row r="26" spans="2:33" x14ac:dyDescent="0.35">
      <c r="B26">
        <v>1</v>
      </c>
      <c r="C26" s="17">
        <v>1</v>
      </c>
      <c r="D26" s="22" t="s">
        <v>30</v>
      </c>
      <c r="E26" s="90">
        <v>28377.279999999999</v>
      </c>
      <c r="F26" s="90">
        <f>INDEX('Revised 2019 Lockdown'!H$5:H$257,MATCH(B26,'Revised 2019 Lockdown'!B$5:B$257,0))</f>
        <v>28377.279999999999</v>
      </c>
      <c r="G26" s="90">
        <f>F26-E26</f>
        <v>0</v>
      </c>
      <c r="H26" s="5">
        <v>9839514.6300000008</v>
      </c>
      <c r="I26" s="5">
        <f>INDEX('Revised 2019 Lockdown'!E$5:E$257,MATCH(B26,'Revised 2019 Lockdown'!B$5:B$257,0))</f>
        <v>9839512.9000000004</v>
      </c>
      <c r="J26" s="5">
        <f>I26-H26</f>
        <v>-1.7300000004470348</v>
      </c>
      <c r="K26" s="5">
        <v>303786.2</v>
      </c>
      <c r="L26" s="5">
        <f>INDEX('Revised 2019 Lockdown'!F$5:F$257,MATCH(B26,'Revised 2019 Lockdown'!B$5:B$257,0))</f>
        <v>303786.2</v>
      </c>
      <c r="M26" s="5">
        <f>L26-K26</f>
        <v>0</v>
      </c>
      <c r="N26" s="5">
        <v>9535728.4300000016</v>
      </c>
      <c r="O26" s="60">
        <f>INDEX('Revised 2019 Lockdown'!G$5:G$257,MATCH(B26,'Revised 2019 Lockdown'!B$5:B$257,0))</f>
        <v>9535726.7000000011</v>
      </c>
      <c r="P26" s="5">
        <f>O26-N26</f>
        <v>-1.7300000004470348</v>
      </c>
      <c r="Q26" s="58">
        <f>IFERROR(O26/F26,"n.a.")</f>
        <v>336.03385172927079</v>
      </c>
      <c r="R26" s="6">
        <f t="shared" ref="R26:R89" si="1">MIN(Q26,INDEX($V$3:$V$11,MATCH(C26,$S$3:$S$11,0)))</f>
        <v>336.03385172927079</v>
      </c>
      <c r="S26" s="5">
        <f>F26*R26</f>
        <v>9535726.7000000011</v>
      </c>
      <c r="T26" s="82">
        <v>0.95833333333333348</v>
      </c>
      <c r="U26" s="60">
        <f>$E$14*(S26/$S$24)</f>
        <v>2199140.9315016419</v>
      </c>
      <c r="V26" s="60">
        <f>$E$15*(F26/$F$24)</f>
        <v>2028455.2222169198</v>
      </c>
      <c r="W26" s="60">
        <f>IFERROR(T26*$E$16*(S26/$S$24),0)</f>
        <v>632253.0178067222</v>
      </c>
      <c r="X26" s="60">
        <f>($W$23+$E$9)*(S26/$S$24)</f>
        <v>115452.47816600346</v>
      </c>
      <c r="Y26" s="60">
        <f>U26+V26+W26+X26</f>
        <v>4975301.6496912874</v>
      </c>
      <c r="Z26" s="63">
        <f>IFERROR((Y26/S26),0)</f>
        <v>0.52175380086043011</v>
      </c>
      <c r="AA26" s="59">
        <f>IF(Z26&gt;$Z$19,$Z$19*S26,Y26+($Z$23*Y26/$Z$22))</f>
        <v>4975457.5901381001</v>
      </c>
      <c r="AB26" s="60"/>
      <c r="AC26" s="59">
        <v>4986889.2341971658</v>
      </c>
      <c r="AD26" s="106">
        <f>AA26-AC26</f>
        <v>-11431.644059065729</v>
      </c>
      <c r="AE26" s="106">
        <v>-11384.717126323842</v>
      </c>
      <c r="AF26" s="106">
        <f>AD26-AE26</f>
        <v>-46.926932741887867</v>
      </c>
      <c r="AG26" s="59"/>
    </row>
    <row r="27" spans="2:33" x14ac:dyDescent="0.35">
      <c r="B27">
        <v>20</v>
      </c>
      <c r="C27" s="17">
        <v>1</v>
      </c>
      <c r="D27" s="22" t="s">
        <v>31</v>
      </c>
      <c r="E27" s="90">
        <v>99784.55</v>
      </c>
      <c r="F27" s="90">
        <f>INDEX('Revised 2019 Lockdown'!H$5:H$257,MATCH(B27,'Revised 2019 Lockdown'!B$5:B$257,0))</f>
        <v>99784.55</v>
      </c>
      <c r="G27" s="90">
        <f t="shared" ref="G27:G90" si="2">F27-E27</f>
        <v>0</v>
      </c>
      <c r="H27" s="5">
        <v>71101496.409999996</v>
      </c>
      <c r="I27" s="5">
        <f>INDEX('Revised 2019 Lockdown'!E$5:E$257,MATCH(B27,'Revised 2019 Lockdown'!B$5:B$257,0))</f>
        <v>71195179.849999994</v>
      </c>
      <c r="J27" s="5">
        <f t="shared" ref="J27:J90" si="3">I27-H27</f>
        <v>93683.439999997616</v>
      </c>
      <c r="K27" s="5">
        <v>8915663.2400000002</v>
      </c>
      <c r="L27" s="5">
        <f>INDEX('Revised 2019 Lockdown'!F$5:F$257,MATCH(B27,'Revised 2019 Lockdown'!B$5:B$257,0))</f>
        <v>8915663.2400000002</v>
      </c>
      <c r="M27" s="5">
        <f t="shared" ref="M27:M90" si="4">L27-K27</f>
        <v>0</v>
      </c>
      <c r="N27" s="5">
        <v>62185833.169999994</v>
      </c>
      <c r="O27" s="60">
        <f>INDEX('Revised 2019 Lockdown'!G$5:G$257,MATCH(B27,'Revised 2019 Lockdown'!B$5:B$257,0))</f>
        <v>62279516.609999992</v>
      </c>
      <c r="P27" s="5">
        <f t="shared" ref="P27:P90" si="5">O27-N27</f>
        <v>93683.439999997616</v>
      </c>
      <c r="Q27" s="58">
        <f>IFERROR(O27/F27,"n.a.")</f>
        <v>624.1398754616821</v>
      </c>
      <c r="R27" s="6">
        <f>MIN(Q27,INDEX($V$3:$V$11,MATCH(C27,$S$3:$S$11,0)))</f>
        <v>624.1398754616821</v>
      </c>
      <c r="S27" s="5">
        <f>F27*R27</f>
        <v>62279516.609999992</v>
      </c>
      <c r="T27" s="82">
        <v>0.83333333333333326</v>
      </c>
      <c r="U27" s="60">
        <f t="shared" ref="U27:U89" si="6">$E$14*(S27/$S$24)</f>
        <v>14362978.143153721</v>
      </c>
      <c r="V27" s="60">
        <f>$E$15*(F27/$F$24)</f>
        <v>7132765.7740299758</v>
      </c>
      <c r="W27" s="60">
        <f t="shared" ref="W27:W89" si="7">IFERROR(T27*$E$16*(S27/$S$24),0)</f>
        <v>3590744.5357884294</v>
      </c>
      <c r="X27" s="60">
        <f t="shared" ref="X27:X89" si="8">($W$23+$E$9)*(S27/$S$24)</f>
        <v>754040.54224889574</v>
      </c>
      <c r="Y27" s="60">
        <f t="shared" ref="Y27:Y89" si="9">U27+V27+W27+X27</f>
        <v>25840528.995221023</v>
      </c>
      <c r="Z27" s="63">
        <f t="shared" ref="Z27:Z89" si="10">IFERROR((Y27/S27),0)</f>
        <v>0.41491216377026124</v>
      </c>
      <c r="AA27" s="59">
        <f t="shared" ref="AA27:AA89" si="11">IF(Z27&gt;$Z$19,$Z$19*S27,Y27+($Z$23*Y27/$Z$22))</f>
        <v>25841338.912673492</v>
      </c>
      <c r="AB27" s="60"/>
      <c r="AC27" s="59">
        <v>25878283.333263673</v>
      </c>
      <c r="AD27" s="106">
        <f t="shared" ref="AD27:AD90" si="12">AA27-AC27</f>
        <v>-36944.420590180904</v>
      </c>
      <c r="AE27" s="106">
        <v>-36646.445777434856</v>
      </c>
      <c r="AF27" s="106">
        <f t="shared" ref="AF27:AF90" si="13">AD27-AE27</f>
        <v>-297.97481274604797</v>
      </c>
      <c r="AG27" s="59"/>
    </row>
    <row r="28" spans="2:33" x14ac:dyDescent="0.35">
      <c r="B28">
        <v>50</v>
      </c>
      <c r="C28" s="17">
        <v>1</v>
      </c>
      <c r="D28" s="22" t="s">
        <v>32</v>
      </c>
      <c r="E28" s="90">
        <v>21706.59</v>
      </c>
      <c r="F28" s="90">
        <f>INDEX('Revised 2019 Lockdown'!H$5:H$257,MATCH(B28,'Revised 2019 Lockdown'!B$5:B$257,0))</f>
        <v>21706.59</v>
      </c>
      <c r="G28" s="90">
        <f t="shared" si="2"/>
        <v>0</v>
      </c>
      <c r="H28" s="5">
        <v>10769002.390000001</v>
      </c>
      <c r="I28" s="5">
        <f>INDEX('Revised 2019 Lockdown'!E$5:E$257,MATCH(B28,'Revised 2019 Lockdown'!B$5:B$257,0))</f>
        <v>10769479.68</v>
      </c>
      <c r="J28" s="5">
        <f t="shared" si="3"/>
        <v>477.28999999910593</v>
      </c>
      <c r="K28" s="5">
        <v>1985825.52</v>
      </c>
      <c r="L28" s="5">
        <f>INDEX('Revised 2019 Lockdown'!F$5:F$257,MATCH(B28,'Revised 2019 Lockdown'!B$5:B$257,0))</f>
        <v>1985825.52</v>
      </c>
      <c r="M28" s="5">
        <f t="shared" si="4"/>
        <v>0</v>
      </c>
      <c r="N28" s="5">
        <v>8783176.870000001</v>
      </c>
      <c r="O28" s="60">
        <f>INDEX('Revised 2019 Lockdown'!G$5:G$257,MATCH(B28,'Revised 2019 Lockdown'!B$5:B$257,0))</f>
        <v>8783654.1600000001</v>
      </c>
      <c r="P28" s="5">
        <f t="shared" si="5"/>
        <v>477.28999999910593</v>
      </c>
      <c r="Q28" s="58">
        <f t="shared" ref="Q28:Q90" si="14">IFERROR(O28/F28,"n.a.")</f>
        <v>404.65380144923733</v>
      </c>
      <c r="R28" s="6">
        <f>MIN(Q28,INDEX($V$3:$V$11,MATCH(C28,$S$3:$S$11,0)))</f>
        <v>404.65380144923733</v>
      </c>
      <c r="S28" s="5">
        <f t="shared" ref="S28:S90" si="15">F28*R28</f>
        <v>8783654.1600000001</v>
      </c>
      <c r="T28" s="82">
        <v>0.95833333333333348</v>
      </c>
      <c r="U28" s="60">
        <f>$E$14*(S28/$S$24)</f>
        <v>2025697.0442966525</v>
      </c>
      <c r="V28" s="60">
        <f>$E$15*(F28/$F$24)</f>
        <v>1551623.194401351</v>
      </c>
      <c r="W28" s="60">
        <f>IFERROR(T28*$E$16*(S28/$S$24),0)</f>
        <v>582387.90023528773</v>
      </c>
      <c r="X28" s="60">
        <f>($W$23+$E$9)*(S28/$S$24)</f>
        <v>106346.86500873871</v>
      </c>
      <c r="Y28" s="60">
        <f>U28+V28+W28+X28</f>
        <v>4266055.0039420305</v>
      </c>
      <c r="Z28" s="63">
        <f>IFERROR((Y28/S28),0)</f>
        <v>0.48568112157344212</v>
      </c>
      <c r="AA28" s="59">
        <f>IF(Z28&gt;$Z$19,$Z$19*S28,Y28+($Z$23*Y28/$Z$22))</f>
        <v>4266188.714532922</v>
      </c>
      <c r="AB28" s="60"/>
      <c r="AC28" s="59">
        <v>4276161.4131988734</v>
      </c>
      <c r="AD28" s="106">
        <f t="shared" si="12"/>
        <v>-9972.6986659513786</v>
      </c>
      <c r="AE28" s="106">
        <v>-10076.976580929011</v>
      </c>
      <c r="AF28" s="106">
        <f t="shared" si="13"/>
        <v>104.27791497763246</v>
      </c>
      <c r="AG28" s="59"/>
    </row>
    <row r="29" spans="2:33" x14ac:dyDescent="0.35">
      <c r="B29">
        <v>97</v>
      </c>
      <c r="C29" s="17">
        <v>1</v>
      </c>
      <c r="D29" s="22" t="s">
        <v>33</v>
      </c>
      <c r="E29" s="90">
        <v>53554.62000000001</v>
      </c>
      <c r="F29" s="90">
        <f>INDEX('Revised 2019 Lockdown'!H$5:H$257,MATCH(B29,'Revised 2019 Lockdown'!B$5:B$257,0))</f>
        <v>53554.62000000001</v>
      </c>
      <c r="G29" s="90">
        <f t="shared" si="2"/>
        <v>0</v>
      </c>
      <c r="H29" s="5">
        <v>29964286.199999999</v>
      </c>
      <c r="I29" s="5">
        <f>INDEX('Revised 2019 Lockdown'!E$5:E$257,MATCH(B29,'Revised 2019 Lockdown'!B$5:B$257,0))</f>
        <v>29964286.199999999</v>
      </c>
      <c r="J29" s="5">
        <f t="shared" si="3"/>
        <v>0</v>
      </c>
      <c r="K29" s="5">
        <v>4815316.72</v>
      </c>
      <c r="L29" s="5">
        <f>INDEX('Revised 2019 Lockdown'!F$5:F$257,MATCH(B29,'Revised 2019 Lockdown'!B$5:B$257,0))</f>
        <v>4815316.72</v>
      </c>
      <c r="M29" s="5">
        <f t="shared" si="4"/>
        <v>0</v>
      </c>
      <c r="N29" s="5">
        <v>25148969.48</v>
      </c>
      <c r="O29" s="60">
        <f>INDEX('Revised 2019 Lockdown'!G$5:G$257,MATCH(B29,'Revised 2019 Lockdown'!B$5:B$257,0))</f>
        <v>25148969.48</v>
      </c>
      <c r="P29" s="5">
        <f t="shared" si="5"/>
        <v>0</v>
      </c>
      <c r="Q29" s="58">
        <f>IFERROR(O29/F29,"n.a.")</f>
        <v>469.59477034847777</v>
      </c>
      <c r="R29" s="6">
        <f t="shared" si="1"/>
        <v>469.59477034847777</v>
      </c>
      <c r="S29" s="5">
        <f t="shared" si="15"/>
        <v>25148969.48</v>
      </c>
      <c r="T29" s="82">
        <v>0.91666666666666674</v>
      </c>
      <c r="U29" s="60">
        <f t="shared" si="6"/>
        <v>5799886.0399966752</v>
      </c>
      <c r="V29" s="60">
        <f t="shared" ref="V29:V89" si="16">$E$15*(F29/$F$24)</f>
        <v>3828173.4053736906</v>
      </c>
      <c r="W29" s="60">
        <f t="shared" si="7"/>
        <v>1594968.6609990858</v>
      </c>
      <c r="X29" s="60">
        <f t="shared" si="8"/>
        <v>304487.63278704154</v>
      </c>
      <c r="Y29" s="60">
        <f t="shared" si="9"/>
        <v>11527515.739156492</v>
      </c>
      <c r="Z29" s="63">
        <f t="shared" si="10"/>
        <v>0.45836930806742909</v>
      </c>
      <c r="AA29" s="59">
        <f t="shared" si="11"/>
        <v>11527877.045079544</v>
      </c>
      <c r="AB29" s="60"/>
      <c r="AC29" s="59">
        <v>11555846.345004993</v>
      </c>
      <c r="AD29" s="106">
        <f t="shared" si="12"/>
        <v>-27969.299925448373</v>
      </c>
      <c r="AE29" s="106">
        <v>-27846.680897980928</v>
      </c>
      <c r="AF29" s="106">
        <f t="shared" si="13"/>
        <v>-122.61902746744454</v>
      </c>
      <c r="AG29" s="59"/>
    </row>
    <row r="30" spans="2:33" x14ac:dyDescent="0.35">
      <c r="B30">
        <v>172</v>
      </c>
      <c r="C30" s="17">
        <v>1</v>
      </c>
      <c r="D30" s="22" t="s">
        <v>34</v>
      </c>
      <c r="E30" s="90">
        <v>33148.810000000005</v>
      </c>
      <c r="F30" s="90">
        <f>INDEX('Revised 2019 Lockdown'!H$5:H$257,MATCH(B30,'Revised 2019 Lockdown'!B$5:B$257,0))</f>
        <v>33148.810000000005</v>
      </c>
      <c r="G30" s="90">
        <f t="shared" si="2"/>
        <v>0</v>
      </c>
      <c r="H30" s="5">
        <v>15527274.060000001</v>
      </c>
      <c r="I30" s="5">
        <f>INDEX('Revised 2019 Lockdown'!E$5:E$257,MATCH(B30,'Revised 2019 Lockdown'!B$5:B$257,0))</f>
        <v>15527274.060000001</v>
      </c>
      <c r="J30" s="5">
        <f t="shared" si="3"/>
        <v>0</v>
      </c>
      <c r="K30" s="5">
        <v>2705559.01</v>
      </c>
      <c r="L30" s="5">
        <f>INDEX('Revised 2019 Lockdown'!F$5:F$257,MATCH(B30,'Revised 2019 Lockdown'!B$5:B$257,0))</f>
        <v>2705559.01</v>
      </c>
      <c r="M30" s="5">
        <f t="shared" si="4"/>
        <v>0</v>
      </c>
      <c r="N30" s="5">
        <v>12821715.050000001</v>
      </c>
      <c r="O30" s="60">
        <f>INDEX('Revised 2019 Lockdown'!G$5:G$257,MATCH(B30,'Revised 2019 Lockdown'!B$5:B$257,0))</f>
        <v>12821715.050000001</v>
      </c>
      <c r="P30" s="5">
        <f t="shared" si="5"/>
        <v>0</v>
      </c>
      <c r="Q30" s="58">
        <f t="shared" si="14"/>
        <v>386.79261940323045</v>
      </c>
      <c r="R30" s="6">
        <f>MIN(Q30,INDEX($V$3:$V$11,MATCH(C30,$S$3:$S$11,0)))</f>
        <v>386.79261940323045</v>
      </c>
      <c r="S30" s="5">
        <f t="shared" si="15"/>
        <v>12821715.050000001</v>
      </c>
      <c r="T30" s="82">
        <v>0.95833333333333348</v>
      </c>
      <c r="U30" s="60">
        <f t="shared" si="6"/>
        <v>2956959.5758764381</v>
      </c>
      <c r="V30" s="60">
        <f t="shared" si="16"/>
        <v>2369532.1311547994</v>
      </c>
      <c r="W30" s="60">
        <f t="shared" si="7"/>
        <v>850125.87806447607</v>
      </c>
      <c r="X30" s="60">
        <f t="shared" si="8"/>
        <v>155237.12281527984</v>
      </c>
      <c r="Y30" s="60">
        <f t="shared" si="9"/>
        <v>6331854.7079109931</v>
      </c>
      <c r="Z30" s="63">
        <f t="shared" si="10"/>
        <v>0.49383835806825177</v>
      </c>
      <c r="AA30" s="59">
        <f t="shared" si="11"/>
        <v>6332053.1666823048</v>
      </c>
      <c r="AB30" s="60"/>
      <c r="AC30" s="59">
        <v>6346961.4930278603</v>
      </c>
      <c r="AD30" s="106">
        <f t="shared" si="12"/>
        <v>-14908.326345555484</v>
      </c>
      <c r="AE30" s="106">
        <v>-14845.227182037197</v>
      </c>
      <c r="AF30" s="106">
        <f t="shared" si="13"/>
        <v>-63.099163518287241</v>
      </c>
      <c r="AG30" s="59"/>
    </row>
    <row r="31" spans="2:33" x14ac:dyDescent="0.35">
      <c r="B31">
        <v>270</v>
      </c>
      <c r="C31" s="17">
        <v>1</v>
      </c>
      <c r="D31" s="22" t="s">
        <v>35</v>
      </c>
      <c r="E31" s="90">
        <v>74041.960000000006</v>
      </c>
      <c r="F31" s="90">
        <f>INDEX('Revised 2019 Lockdown'!H$5:H$257,MATCH(B31,'Revised 2019 Lockdown'!B$5:B$257,0))</f>
        <v>74041.960000000006</v>
      </c>
      <c r="G31" s="90">
        <f t="shared" si="2"/>
        <v>0</v>
      </c>
      <c r="H31" s="5">
        <v>40222621.619999997</v>
      </c>
      <c r="I31" s="5">
        <f>INDEX('Revised 2019 Lockdown'!E$5:E$257,MATCH(B31,'Revised 2019 Lockdown'!B$5:B$257,0))</f>
        <v>40203570.229999997</v>
      </c>
      <c r="J31" s="5">
        <f t="shared" si="3"/>
        <v>-19051.390000000596</v>
      </c>
      <c r="K31" s="5">
        <v>2597373.92</v>
      </c>
      <c r="L31" s="5">
        <f>INDEX('Revised 2019 Lockdown'!F$5:F$257,MATCH(B31,'Revised 2019 Lockdown'!B$5:B$257,0))</f>
        <v>2597373.92</v>
      </c>
      <c r="M31" s="5">
        <f t="shared" si="4"/>
        <v>0</v>
      </c>
      <c r="N31" s="5">
        <v>37625247.699999996</v>
      </c>
      <c r="O31" s="60">
        <f>INDEX('Revised 2019 Lockdown'!G$5:G$257,MATCH(B31,'Revised 2019 Lockdown'!B$5:B$257,0))</f>
        <v>37606196.309999995</v>
      </c>
      <c r="P31" s="5">
        <f t="shared" si="5"/>
        <v>-19051.390000000596</v>
      </c>
      <c r="Q31" s="58">
        <f t="shared" si="14"/>
        <v>507.90384681874968</v>
      </c>
      <c r="R31" s="6">
        <f t="shared" si="1"/>
        <v>507.90384681874968</v>
      </c>
      <c r="S31" s="5">
        <f t="shared" si="15"/>
        <v>37606196.309999995</v>
      </c>
      <c r="T31" s="82">
        <v>0.875</v>
      </c>
      <c r="U31" s="60">
        <f t="shared" si="6"/>
        <v>8672786.897657942</v>
      </c>
      <c r="V31" s="60">
        <f t="shared" si="16"/>
        <v>5292642.5797390137</v>
      </c>
      <c r="W31" s="60">
        <f t="shared" si="7"/>
        <v>2276606.5606352095</v>
      </c>
      <c r="X31" s="60">
        <f t="shared" si="8"/>
        <v>455311.76542493759</v>
      </c>
      <c r="Y31" s="60">
        <f t="shared" si="9"/>
        <v>16697347.803457102</v>
      </c>
      <c r="Z31" s="63">
        <f t="shared" si="10"/>
        <v>0.44400522897385003</v>
      </c>
      <c r="AA31" s="59">
        <f t="shared" si="11"/>
        <v>16697871.146976829</v>
      </c>
      <c r="AB31" s="60"/>
      <c r="AC31" s="59">
        <v>16744611.371131556</v>
      </c>
      <c r="AD31" s="106">
        <f t="shared" si="12"/>
        <v>-46740.224154727533</v>
      </c>
      <c r="AE31" s="106">
        <v>-46558.583805862814</v>
      </c>
      <c r="AF31" s="106">
        <f t="shared" si="13"/>
        <v>-181.64034886471927</v>
      </c>
      <c r="AG31" s="59"/>
    </row>
    <row r="32" spans="2:33" x14ac:dyDescent="0.35">
      <c r="B32">
        <v>6</v>
      </c>
      <c r="C32" s="17">
        <v>2</v>
      </c>
      <c r="D32" s="22" t="s">
        <v>36</v>
      </c>
      <c r="E32" s="90">
        <v>41206.969999999987</v>
      </c>
      <c r="F32" s="90">
        <f>INDEX('Revised 2019 Lockdown'!H$5:H$257,MATCH(B32,'Revised 2019 Lockdown'!B$5:B$257,0))</f>
        <v>41206.969999999987</v>
      </c>
      <c r="G32" s="90">
        <f t="shared" si="2"/>
        <v>0</v>
      </c>
      <c r="H32" s="5">
        <v>19734526.949999999</v>
      </c>
      <c r="I32" s="5">
        <f>INDEX('Revised 2019 Lockdown'!E$5:E$257,MATCH(B32,'Revised 2019 Lockdown'!B$5:B$257,0))</f>
        <v>19734526.949999999</v>
      </c>
      <c r="J32" s="5">
        <f t="shared" si="3"/>
        <v>0</v>
      </c>
      <c r="K32" s="5">
        <v>3742083.3</v>
      </c>
      <c r="L32" s="5">
        <f>INDEX('Revised 2019 Lockdown'!F$5:F$257,MATCH(B32,'Revised 2019 Lockdown'!B$5:B$257,0))</f>
        <v>3742083.3</v>
      </c>
      <c r="M32" s="5">
        <f t="shared" si="4"/>
        <v>0</v>
      </c>
      <c r="N32" s="5">
        <v>15992443.649999999</v>
      </c>
      <c r="O32" s="60">
        <f>INDEX('Revised 2019 Lockdown'!G$5:G$257,MATCH(B32,'Revised 2019 Lockdown'!B$5:B$257,0))</f>
        <v>15992443.649999999</v>
      </c>
      <c r="P32" s="5">
        <f t="shared" si="5"/>
        <v>0</v>
      </c>
      <c r="Q32" s="58">
        <f t="shared" si="14"/>
        <v>388.10045121007448</v>
      </c>
      <c r="R32" s="6">
        <f t="shared" si="1"/>
        <v>388.10045121007448</v>
      </c>
      <c r="S32" s="5">
        <f t="shared" si="15"/>
        <v>15992443.649999999</v>
      </c>
      <c r="T32" s="82">
        <v>0.80733333333333346</v>
      </c>
      <c r="U32" s="60">
        <f t="shared" si="6"/>
        <v>3688196.8760124505</v>
      </c>
      <c r="V32" s="60">
        <f t="shared" si="16"/>
        <v>2945542.8246905948</v>
      </c>
      <c r="W32" s="60">
        <f t="shared" si="7"/>
        <v>893281.28337021568</v>
      </c>
      <c r="X32" s="60">
        <f t="shared" si="8"/>
        <v>193626.27615183912</v>
      </c>
      <c r="Y32" s="60">
        <f t="shared" si="9"/>
        <v>7720647.2602250995</v>
      </c>
      <c r="Z32" s="63">
        <f t="shared" si="10"/>
        <v>0.48276845172595623</v>
      </c>
      <c r="AA32" s="59">
        <f t="shared" si="11"/>
        <v>7720889.24780057</v>
      </c>
      <c r="AB32" s="60"/>
      <c r="AC32" s="59">
        <v>7738976.4084279211</v>
      </c>
      <c r="AD32" s="106">
        <f t="shared" si="12"/>
        <v>-18087.160627351142</v>
      </c>
      <c r="AE32" s="106">
        <v>-18011.105205883272</v>
      </c>
      <c r="AF32" s="106">
        <f t="shared" si="13"/>
        <v>-76.055421467870474</v>
      </c>
      <c r="AG32" s="59"/>
    </row>
    <row r="33" spans="2:33" x14ac:dyDescent="0.35">
      <c r="B33">
        <v>18</v>
      </c>
      <c r="C33" s="17">
        <v>2</v>
      </c>
      <c r="D33" s="22" t="s">
        <v>37</v>
      </c>
      <c r="E33" s="90">
        <v>19941.120000000003</v>
      </c>
      <c r="F33" s="90">
        <f>INDEX('Revised 2019 Lockdown'!H$5:H$257,MATCH(B33,'Revised 2019 Lockdown'!B$5:B$257,0))</f>
        <v>19941.120000000003</v>
      </c>
      <c r="G33" s="90">
        <f t="shared" si="2"/>
        <v>0</v>
      </c>
      <c r="H33" s="5">
        <v>8788831.7100000009</v>
      </c>
      <c r="I33" s="5">
        <f>INDEX('Revised 2019 Lockdown'!E$5:E$257,MATCH(B33,'Revised 2019 Lockdown'!B$5:B$257,0))</f>
        <v>8785791</v>
      </c>
      <c r="J33" s="5">
        <f t="shared" si="3"/>
        <v>-3040.7100000008941</v>
      </c>
      <c r="K33" s="5">
        <v>2133782.5100000002</v>
      </c>
      <c r="L33" s="5">
        <f>INDEX('Revised 2019 Lockdown'!F$5:F$257,MATCH(B33,'Revised 2019 Lockdown'!B$5:B$257,0))</f>
        <v>2133782.4900000002</v>
      </c>
      <c r="M33" s="5">
        <f t="shared" si="4"/>
        <v>-2.0000000018626451E-2</v>
      </c>
      <c r="N33" s="5">
        <v>6655049.2000000011</v>
      </c>
      <c r="O33" s="60">
        <f>INDEX('Revised 2019 Lockdown'!G$5:G$257,MATCH(B33,'Revised 2019 Lockdown'!B$5:B$257,0))</f>
        <v>6652008.5099999998</v>
      </c>
      <c r="P33" s="5">
        <f t="shared" si="5"/>
        <v>-3040.6900000013411</v>
      </c>
      <c r="Q33" s="58">
        <f t="shared" si="14"/>
        <v>333.58249235750043</v>
      </c>
      <c r="R33" s="6">
        <f t="shared" si="1"/>
        <v>333.58249235750043</v>
      </c>
      <c r="S33" s="5">
        <f t="shared" si="15"/>
        <v>6652008.5099999998</v>
      </c>
      <c r="T33" s="82">
        <v>0.61805555555555558</v>
      </c>
      <c r="U33" s="60">
        <f t="shared" si="6"/>
        <v>1534094.3224639867</v>
      </c>
      <c r="V33" s="60">
        <f t="shared" si="16"/>
        <v>1425424.4593158425</v>
      </c>
      <c r="W33" s="60">
        <f t="shared" si="7"/>
        <v>284446.65562353085</v>
      </c>
      <c r="X33" s="60">
        <f t="shared" si="8"/>
        <v>80538.263251697863</v>
      </c>
      <c r="Y33" s="60">
        <f t="shared" si="9"/>
        <v>3324503.700655058</v>
      </c>
      <c r="Z33" s="63">
        <f t="shared" si="10"/>
        <v>0.4997744208621071</v>
      </c>
      <c r="AA33" s="59">
        <f t="shared" si="11"/>
        <v>3324607.9002853543</v>
      </c>
      <c r="AB33" s="60"/>
      <c r="AC33" s="59">
        <v>3333002.2097434895</v>
      </c>
      <c r="AD33" s="106">
        <f t="shared" si="12"/>
        <v>-8394.3094581351615</v>
      </c>
      <c r="AE33" s="106">
        <v>-8364.0557064991444</v>
      </c>
      <c r="AF33" s="106">
        <f t="shared" si="13"/>
        <v>-30.253751636017114</v>
      </c>
      <c r="AG33" s="59"/>
    </row>
    <row r="34" spans="2:33" x14ac:dyDescent="0.35">
      <c r="B34">
        <v>53</v>
      </c>
      <c r="C34" s="17">
        <v>2</v>
      </c>
      <c r="D34" s="22" t="s">
        <v>38</v>
      </c>
      <c r="E34" s="90">
        <v>34960.206400000003</v>
      </c>
      <c r="F34" s="90">
        <f>INDEX('Revised 2019 Lockdown'!H$5:H$257,MATCH(B34,'Revised 2019 Lockdown'!B$5:B$257,0))</f>
        <v>34960.206400000003</v>
      </c>
      <c r="G34" s="90">
        <f t="shared" si="2"/>
        <v>0</v>
      </c>
      <c r="H34" s="5">
        <v>10395927.890000001</v>
      </c>
      <c r="I34" s="5">
        <f>INDEX('Revised 2019 Lockdown'!E$5:E$257,MATCH(B34,'Revised 2019 Lockdown'!B$5:B$257,0))</f>
        <v>10395927.890000001</v>
      </c>
      <c r="J34" s="5">
        <f t="shared" si="3"/>
        <v>0</v>
      </c>
      <c r="K34" s="5">
        <v>2947532.46</v>
      </c>
      <c r="L34" s="5">
        <f>INDEX('Revised 2019 Lockdown'!F$5:F$257,MATCH(B34,'Revised 2019 Lockdown'!B$5:B$257,0))</f>
        <v>2947532.46</v>
      </c>
      <c r="M34" s="5">
        <f t="shared" si="4"/>
        <v>0</v>
      </c>
      <c r="N34" s="5">
        <v>7448395.4300000006</v>
      </c>
      <c r="O34" s="60">
        <f>INDEX('Revised 2019 Lockdown'!G$5:G$257,MATCH(B34,'Revised 2019 Lockdown'!B$5:B$257,0))</f>
        <v>7448395.4300000006</v>
      </c>
      <c r="P34" s="5">
        <f t="shared" si="5"/>
        <v>0</v>
      </c>
      <c r="Q34" s="58">
        <f t="shared" si="14"/>
        <v>213.05353134299574</v>
      </c>
      <c r="R34" s="6">
        <f t="shared" si="1"/>
        <v>213.05353134299574</v>
      </c>
      <c r="S34" s="5">
        <f t="shared" si="15"/>
        <v>7448395.4300000006</v>
      </c>
      <c r="T34" s="82">
        <v>0.91666666666666674</v>
      </c>
      <c r="U34" s="60">
        <f t="shared" si="6"/>
        <v>1717758.0460776812</v>
      </c>
      <c r="V34" s="60">
        <f t="shared" si="16"/>
        <v>2499013.7617791905</v>
      </c>
      <c r="W34" s="60">
        <f t="shared" si="7"/>
        <v>472383.46267136233</v>
      </c>
      <c r="X34" s="60">
        <f t="shared" si="8"/>
        <v>90180.406570779232</v>
      </c>
      <c r="Y34" s="60">
        <f t="shared" si="9"/>
        <v>4779335.6770990137</v>
      </c>
      <c r="Z34" s="63">
        <f t="shared" si="10"/>
        <v>0.64165976712906792</v>
      </c>
      <c r="AA34" s="59">
        <f t="shared" si="11"/>
        <v>4779485.4754013941</v>
      </c>
      <c r="AB34" s="60"/>
      <c r="AC34" s="59">
        <v>4789531.0360584194</v>
      </c>
      <c r="AD34" s="106">
        <f t="shared" si="12"/>
        <v>-10045.560657025315</v>
      </c>
      <c r="AE34" s="106">
        <v>-10009.249504474923</v>
      </c>
      <c r="AF34" s="106">
        <f t="shared" si="13"/>
        <v>-36.311152550391853</v>
      </c>
      <c r="AG34" s="59"/>
    </row>
    <row r="35" spans="2:33" x14ac:dyDescent="0.35">
      <c r="B35">
        <v>335</v>
      </c>
      <c r="C35" s="17">
        <v>2</v>
      </c>
      <c r="D35" s="22" t="s">
        <v>39</v>
      </c>
      <c r="E35" s="90">
        <v>25689.83</v>
      </c>
      <c r="F35" s="90">
        <f>INDEX('Revised 2019 Lockdown'!H$5:H$257,MATCH(B35,'Revised 2019 Lockdown'!B$5:B$257,0))</f>
        <v>25689.83</v>
      </c>
      <c r="G35" s="90">
        <f t="shared" si="2"/>
        <v>0</v>
      </c>
      <c r="H35" s="5">
        <v>14903554.119999999</v>
      </c>
      <c r="I35" s="5">
        <f>INDEX('Revised 2019 Lockdown'!E$5:E$257,MATCH(B35,'Revised 2019 Lockdown'!B$5:B$257,0))</f>
        <v>15371539.85</v>
      </c>
      <c r="J35" s="5">
        <f t="shared" si="3"/>
        <v>467985.73000000045</v>
      </c>
      <c r="K35" s="5">
        <v>1961104.7</v>
      </c>
      <c r="L35" s="5">
        <f>INDEX('Revised 2019 Lockdown'!F$5:F$257,MATCH(B35,'Revised 2019 Lockdown'!B$5:B$257,0))</f>
        <v>1961363.18</v>
      </c>
      <c r="M35" s="5">
        <f t="shared" si="4"/>
        <v>258.47999999998137</v>
      </c>
      <c r="N35" s="5">
        <v>12942449.42</v>
      </c>
      <c r="O35" s="60">
        <f>INDEX('Revised 2019 Lockdown'!G$5:G$257,MATCH(B35,'Revised 2019 Lockdown'!B$5:B$257,0))</f>
        <v>13410176.67</v>
      </c>
      <c r="P35" s="5">
        <f t="shared" si="5"/>
        <v>467727.25</v>
      </c>
      <c r="Q35" s="58">
        <f t="shared" si="14"/>
        <v>522.00332466193822</v>
      </c>
      <c r="R35" s="6">
        <f t="shared" si="1"/>
        <v>452.85445014437244</v>
      </c>
      <c r="S35" s="5">
        <f t="shared" si="15"/>
        <v>11633753.838952404</v>
      </c>
      <c r="T35" s="82">
        <v>0.875</v>
      </c>
      <c r="U35" s="60">
        <f t="shared" si="6"/>
        <v>2682990.5112795015</v>
      </c>
      <c r="V35" s="60">
        <f t="shared" si="16"/>
        <v>1836351.8216462217</v>
      </c>
      <c r="W35" s="60">
        <f t="shared" si="7"/>
        <v>704285.00921086909</v>
      </c>
      <c r="X35" s="60">
        <f t="shared" si="8"/>
        <v>140854.04849955603</v>
      </c>
      <c r="Y35" s="60">
        <f t="shared" si="9"/>
        <v>5364481.3906361479</v>
      </c>
      <c r="Z35" s="63">
        <f t="shared" si="10"/>
        <v>0.46111353780537001</v>
      </c>
      <c r="AA35" s="59">
        <f t="shared" si="11"/>
        <v>5364649.5291097267</v>
      </c>
      <c r="AB35" s="60"/>
      <c r="AC35" s="59">
        <v>5310141.7544717453</v>
      </c>
      <c r="AD35" s="106">
        <f t="shared" si="12"/>
        <v>54507.774637981318</v>
      </c>
      <c r="AE35" s="106">
        <v>54563.965682028793</v>
      </c>
      <c r="AF35" s="106">
        <f t="shared" si="13"/>
        <v>-56.191044047474861</v>
      </c>
      <c r="AG35" s="59"/>
    </row>
    <row r="36" spans="2:33" x14ac:dyDescent="0.35">
      <c r="B36">
        <v>357</v>
      </c>
      <c r="C36" s="17">
        <v>2</v>
      </c>
      <c r="D36" s="22" t="s">
        <v>40</v>
      </c>
      <c r="E36" s="90">
        <v>34912.030000000006</v>
      </c>
      <c r="F36" s="90">
        <f>INDEX('Revised 2019 Lockdown'!H$5:H$257,MATCH(B36,'Revised 2019 Lockdown'!B$5:B$257,0))</f>
        <v>34912.030000000006</v>
      </c>
      <c r="G36" s="90">
        <f t="shared" si="2"/>
        <v>0</v>
      </c>
      <c r="H36" s="5">
        <v>13658152.119999999</v>
      </c>
      <c r="I36" s="5">
        <f>INDEX('Revised 2019 Lockdown'!E$5:E$257,MATCH(B36,'Revised 2019 Lockdown'!B$5:B$257,0))</f>
        <v>13658152.119999999</v>
      </c>
      <c r="J36" s="5">
        <f t="shared" si="3"/>
        <v>0</v>
      </c>
      <c r="K36" s="5">
        <v>3498711.4300000006</v>
      </c>
      <c r="L36" s="5">
        <f>INDEX('Revised 2019 Lockdown'!F$5:F$257,MATCH(B36,'Revised 2019 Lockdown'!B$5:B$257,0))</f>
        <v>3498711.4300000006</v>
      </c>
      <c r="M36" s="5">
        <f t="shared" si="4"/>
        <v>0</v>
      </c>
      <c r="N36" s="5">
        <v>10159440.689999998</v>
      </c>
      <c r="O36" s="60">
        <f>INDEX('Revised 2019 Lockdown'!G$5:G$257,MATCH(B36,'Revised 2019 Lockdown'!B$5:B$257,0))</f>
        <v>10159440.689999998</v>
      </c>
      <c r="P36" s="5">
        <f t="shared" si="5"/>
        <v>0</v>
      </c>
      <c r="Q36" s="58">
        <f t="shared" si="14"/>
        <v>291.00114459113365</v>
      </c>
      <c r="R36" s="6">
        <f t="shared" si="1"/>
        <v>291.00114459113365</v>
      </c>
      <c r="S36" s="5">
        <f t="shared" si="15"/>
        <v>10159440.689999998</v>
      </c>
      <c r="T36" s="82">
        <v>0.95833333333333348</v>
      </c>
      <c r="U36" s="60">
        <f t="shared" si="6"/>
        <v>2342982.6132225743</v>
      </c>
      <c r="V36" s="60">
        <f t="shared" si="16"/>
        <v>2495570.0324940863</v>
      </c>
      <c r="W36" s="60">
        <f t="shared" si="7"/>
        <v>673607.50130149024</v>
      </c>
      <c r="X36" s="60">
        <f t="shared" si="8"/>
        <v>123004.00812043319</v>
      </c>
      <c r="Y36" s="60">
        <f t="shared" si="9"/>
        <v>5635164.1551385848</v>
      </c>
      <c r="Z36" s="63">
        <f t="shared" si="10"/>
        <v>0.55467267609380433</v>
      </c>
      <c r="AA36" s="59">
        <f t="shared" si="11"/>
        <v>5635340.7775985049</v>
      </c>
      <c r="AB36" s="60"/>
      <c r="AC36" s="59">
        <v>5647951.1761372052</v>
      </c>
      <c r="AD36" s="106">
        <f t="shared" si="12"/>
        <v>-12610.398538700305</v>
      </c>
      <c r="AE36" s="106">
        <v>-12560.403439799324</v>
      </c>
      <c r="AF36" s="106">
        <f t="shared" si="13"/>
        <v>-49.995098900981247</v>
      </c>
      <c r="AG36" s="59"/>
    </row>
    <row r="37" spans="2:33" x14ac:dyDescent="0.35">
      <c r="B37">
        <v>441</v>
      </c>
      <c r="C37" s="17">
        <v>2</v>
      </c>
      <c r="D37" s="22" t="s">
        <v>41</v>
      </c>
      <c r="E37" s="90">
        <v>55231.539999999986</v>
      </c>
      <c r="F37" s="90">
        <f>INDEX('Revised 2019 Lockdown'!H$5:H$257,MATCH(B37,'Revised 2019 Lockdown'!B$5:B$257,0))</f>
        <v>55231.539999999986</v>
      </c>
      <c r="G37" s="90">
        <f t="shared" si="2"/>
        <v>0</v>
      </c>
      <c r="H37" s="5">
        <v>19919415.420000002</v>
      </c>
      <c r="I37" s="5">
        <f>INDEX('Revised 2019 Lockdown'!E$5:E$257,MATCH(B37,'Revised 2019 Lockdown'!B$5:B$257,0))</f>
        <v>19919415.420000002</v>
      </c>
      <c r="J37" s="5">
        <f t="shared" si="3"/>
        <v>0</v>
      </c>
      <c r="K37" s="5">
        <v>6656078.0499999989</v>
      </c>
      <c r="L37" s="5">
        <f>INDEX('Revised 2019 Lockdown'!F$5:F$257,MATCH(B37,'Revised 2019 Lockdown'!B$5:B$257,0))</f>
        <v>6656078.0499999989</v>
      </c>
      <c r="M37" s="5">
        <f t="shared" si="4"/>
        <v>0</v>
      </c>
      <c r="N37" s="5">
        <v>13263337.370000003</v>
      </c>
      <c r="O37" s="60">
        <f>INDEX('Revised 2019 Lockdown'!G$5:G$257,MATCH(B37,'Revised 2019 Lockdown'!B$5:B$257,0))</f>
        <v>13263337.370000003</v>
      </c>
      <c r="P37" s="5">
        <f t="shared" si="5"/>
        <v>0</v>
      </c>
      <c r="Q37" s="58">
        <f t="shared" si="14"/>
        <v>240.14064011251554</v>
      </c>
      <c r="R37" s="6">
        <f t="shared" si="1"/>
        <v>240.14064011251554</v>
      </c>
      <c r="S37" s="5">
        <f t="shared" si="15"/>
        <v>13263337.370000003</v>
      </c>
      <c r="T37" s="82">
        <v>0.84722222222222232</v>
      </c>
      <c r="U37" s="60">
        <f t="shared" si="6"/>
        <v>3058807.0543886651</v>
      </c>
      <c r="V37" s="60">
        <f t="shared" si="16"/>
        <v>3948042.4390245532</v>
      </c>
      <c r="W37" s="60">
        <f t="shared" si="7"/>
        <v>777446.79299045238</v>
      </c>
      <c r="X37" s="60">
        <f t="shared" si="8"/>
        <v>160584.00332701052</v>
      </c>
      <c r="Y37" s="60">
        <f t="shared" si="9"/>
        <v>7944880.2897306811</v>
      </c>
      <c r="Z37" s="63">
        <f t="shared" si="10"/>
        <v>0.5990106462722572</v>
      </c>
      <c r="AA37" s="59">
        <f t="shared" si="11"/>
        <v>7945129.3054224895</v>
      </c>
      <c r="AB37" s="60"/>
      <c r="AC37" s="59">
        <v>7962180.8117411137</v>
      </c>
      <c r="AD37" s="106">
        <f t="shared" si="12"/>
        <v>-17051.506318624131</v>
      </c>
      <c r="AE37" s="106">
        <v>-16987.855205585249</v>
      </c>
      <c r="AF37" s="106">
        <f t="shared" si="13"/>
        <v>-63.651113038882613</v>
      </c>
      <c r="AG37" s="59"/>
    </row>
    <row r="38" spans="2:33" x14ac:dyDescent="0.35">
      <c r="B38">
        <v>14</v>
      </c>
      <c r="C38" s="17">
        <v>3</v>
      </c>
      <c r="D38" s="22" t="s">
        <v>42</v>
      </c>
      <c r="E38" s="90">
        <v>11108.29</v>
      </c>
      <c r="F38" s="90">
        <f>INDEX('Revised 2019 Lockdown'!H$5:H$257,MATCH(B38,'Revised 2019 Lockdown'!B$5:B$257,0))</f>
        <v>11108.29</v>
      </c>
      <c r="G38" s="90">
        <f t="shared" si="2"/>
        <v>0</v>
      </c>
      <c r="H38" s="5">
        <v>2679551.4300000002</v>
      </c>
      <c r="I38" s="5">
        <f>INDEX('Revised 2019 Lockdown'!E$5:E$257,MATCH(B38,'Revised 2019 Lockdown'!B$5:B$257,0))</f>
        <v>2696626.28</v>
      </c>
      <c r="J38" s="5">
        <f t="shared" si="3"/>
        <v>17074.849999999627</v>
      </c>
      <c r="K38" s="5">
        <v>129351.95</v>
      </c>
      <c r="L38" s="5">
        <f>INDEX('Revised 2019 Lockdown'!F$5:F$257,MATCH(B38,'Revised 2019 Lockdown'!B$5:B$257,0))</f>
        <v>129351.95</v>
      </c>
      <c r="M38" s="5">
        <f t="shared" si="4"/>
        <v>0</v>
      </c>
      <c r="N38" s="5">
        <v>2550199.48</v>
      </c>
      <c r="O38" s="60">
        <f>INDEX('Revised 2019 Lockdown'!G$5:G$257,MATCH(B38,'Revised 2019 Lockdown'!B$5:B$257,0))</f>
        <v>2567274.3299999996</v>
      </c>
      <c r="P38" s="5">
        <f t="shared" si="5"/>
        <v>17074.849999999627</v>
      </c>
      <c r="Q38" s="58">
        <f t="shared" si="14"/>
        <v>231.11336938448667</v>
      </c>
      <c r="R38" s="6">
        <f t="shared" si="1"/>
        <v>231.11336938448667</v>
      </c>
      <c r="S38" s="5">
        <f t="shared" si="15"/>
        <v>2567274.3299999996</v>
      </c>
      <c r="T38" s="82">
        <v>0.91666666666666674</v>
      </c>
      <c r="U38" s="60">
        <f t="shared" si="6"/>
        <v>592067.93977185315</v>
      </c>
      <c r="V38" s="60">
        <f t="shared" si="16"/>
        <v>794039.06436416705</v>
      </c>
      <c r="W38" s="60">
        <f t="shared" si="7"/>
        <v>162818.68343725963</v>
      </c>
      <c r="X38" s="60">
        <f t="shared" si="8"/>
        <v>31082.915110231304</v>
      </c>
      <c r="Y38" s="60">
        <f t="shared" si="9"/>
        <v>1580008.6026835113</v>
      </c>
      <c r="Z38" s="63">
        <f t="shared" si="10"/>
        <v>0.61544206017263126</v>
      </c>
      <c r="AA38" s="59">
        <f t="shared" si="11"/>
        <v>1580058.1247557027</v>
      </c>
      <c r="AB38" s="60"/>
      <c r="AC38" s="59">
        <v>1578190.458441885</v>
      </c>
      <c r="AD38" s="106">
        <f t="shared" si="12"/>
        <v>1867.6663138177246</v>
      </c>
      <c r="AE38" s="106">
        <v>1880.1821025158279</v>
      </c>
      <c r="AF38" s="106">
        <f t="shared" si="13"/>
        <v>-12.515788698103279</v>
      </c>
      <c r="AG38" s="59"/>
    </row>
    <row r="39" spans="2:33" x14ac:dyDescent="0.35">
      <c r="B39">
        <v>36</v>
      </c>
      <c r="C39" s="17">
        <v>3</v>
      </c>
      <c r="D39" s="22" t="s">
        <v>43</v>
      </c>
      <c r="E39" s="90">
        <v>5586.8</v>
      </c>
      <c r="F39" s="90">
        <f>INDEX('Revised 2019 Lockdown'!H$5:H$257,MATCH(B39,'Revised 2019 Lockdown'!B$5:B$257,0))</f>
        <v>5586.73</v>
      </c>
      <c r="G39" s="90">
        <f t="shared" si="2"/>
        <v>-7.0000000000618456E-2</v>
      </c>
      <c r="H39" s="5">
        <v>6633340.9699999997</v>
      </c>
      <c r="I39" s="5">
        <f>INDEX('Revised 2019 Lockdown'!E$5:E$257,MATCH(B39,'Revised 2019 Lockdown'!B$5:B$257,0))</f>
        <v>6566433.6200000001</v>
      </c>
      <c r="J39" s="5">
        <f t="shared" si="3"/>
        <v>-66907.349999999627</v>
      </c>
      <c r="K39" s="5">
        <v>622957</v>
      </c>
      <c r="L39" s="5">
        <f>INDEX('Revised 2019 Lockdown'!F$5:F$257,MATCH(B39,'Revised 2019 Lockdown'!B$5:B$257,0))</f>
        <v>622957</v>
      </c>
      <c r="M39" s="5">
        <f t="shared" si="4"/>
        <v>0</v>
      </c>
      <c r="N39" s="5">
        <v>6010383.9699999997</v>
      </c>
      <c r="O39" s="60">
        <f>INDEX('Revised 2019 Lockdown'!G$5:G$257,MATCH(B39,'Revised 2019 Lockdown'!B$5:B$257,0))</f>
        <v>5943476.6200000001</v>
      </c>
      <c r="P39" s="5">
        <f t="shared" si="5"/>
        <v>-66907.349999999627</v>
      </c>
      <c r="Q39" s="58">
        <f t="shared" si="14"/>
        <v>1063.8560696507618</v>
      </c>
      <c r="R39" s="6">
        <f t="shared" si="1"/>
        <v>788.08317794910727</v>
      </c>
      <c r="S39" s="5">
        <f t="shared" si="15"/>
        <v>4402807.9327436155</v>
      </c>
      <c r="T39" s="82">
        <v>0.68402777777777768</v>
      </c>
      <c r="U39" s="60">
        <f t="shared" si="6"/>
        <v>1015380.9398120242</v>
      </c>
      <c r="V39" s="60">
        <f t="shared" si="16"/>
        <v>399348.76223570161</v>
      </c>
      <c r="W39" s="60">
        <f t="shared" si="7"/>
        <v>208364.6303572591</v>
      </c>
      <c r="X39" s="60">
        <f t="shared" si="8"/>
        <v>53306.381644116234</v>
      </c>
      <c r="Y39" s="60">
        <f t="shared" si="9"/>
        <v>1676400.7140491013</v>
      </c>
      <c r="Z39" s="63">
        <f t="shared" si="10"/>
        <v>0.3807571757972304</v>
      </c>
      <c r="AA39" s="59">
        <f t="shared" si="11"/>
        <v>1676453.2573308544</v>
      </c>
      <c r="AB39" s="60"/>
      <c r="AC39" s="59">
        <v>1691845.7221222448</v>
      </c>
      <c r="AD39" s="106">
        <f t="shared" si="12"/>
        <v>-15392.464791390346</v>
      </c>
      <c r="AE39" s="106">
        <v>-15372.120051702019</v>
      </c>
      <c r="AF39" s="106">
        <f t="shared" si="13"/>
        <v>-20.344739688327536</v>
      </c>
      <c r="AG39" s="59"/>
    </row>
    <row r="40" spans="2:33" x14ac:dyDescent="0.35">
      <c r="B40">
        <v>55</v>
      </c>
      <c r="C40" s="17">
        <v>3</v>
      </c>
      <c r="D40" s="22" t="s">
        <v>44</v>
      </c>
      <c r="E40" s="90">
        <v>3486.1699999999992</v>
      </c>
      <c r="F40" s="90">
        <f>INDEX('Revised 2019 Lockdown'!H$5:H$257,MATCH(B40,'Revised 2019 Lockdown'!B$5:B$257,0))</f>
        <v>3486.1699999999992</v>
      </c>
      <c r="G40" s="90">
        <f t="shared" si="2"/>
        <v>0</v>
      </c>
      <c r="H40" s="5">
        <v>1496659.65</v>
      </c>
      <c r="I40" s="5">
        <f>INDEX('Revised 2019 Lockdown'!E$5:E$257,MATCH(B40,'Revised 2019 Lockdown'!B$5:B$257,0))</f>
        <v>1496659.65</v>
      </c>
      <c r="J40" s="5">
        <f t="shared" si="3"/>
        <v>0</v>
      </c>
      <c r="K40" s="5">
        <v>60217.409999999996</v>
      </c>
      <c r="L40" s="5">
        <f>INDEX('Revised 2019 Lockdown'!F$5:F$257,MATCH(B40,'Revised 2019 Lockdown'!B$5:B$257,0))</f>
        <v>60217.409999999996</v>
      </c>
      <c r="M40" s="5">
        <f t="shared" si="4"/>
        <v>0</v>
      </c>
      <c r="N40" s="5">
        <v>1436442.24</v>
      </c>
      <c r="O40" s="60">
        <f>INDEX('Revised 2019 Lockdown'!G$5:G$257,MATCH(B40,'Revised 2019 Lockdown'!B$5:B$257,0))</f>
        <v>1436442.24</v>
      </c>
      <c r="P40" s="5">
        <f t="shared" si="5"/>
        <v>0</v>
      </c>
      <c r="Q40" s="58">
        <f t="shared" si="14"/>
        <v>412.04021605372094</v>
      </c>
      <c r="R40" s="6">
        <f t="shared" si="1"/>
        <v>412.04021605372094</v>
      </c>
      <c r="S40" s="5">
        <f t="shared" si="15"/>
        <v>1436442.24</v>
      </c>
      <c r="T40" s="82">
        <v>0.46296296296296297</v>
      </c>
      <c r="U40" s="60">
        <f t="shared" si="6"/>
        <v>331274.06280655094</v>
      </c>
      <c r="V40" s="60">
        <f t="shared" si="16"/>
        <v>249197.23602952636</v>
      </c>
      <c r="W40" s="60">
        <f t="shared" si="7"/>
        <v>46010.286500909853</v>
      </c>
      <c r="X40" s="60">
        <f t="shared" si="8"/>
        <v>17391.523642380092</v>
      </c>
      <c r="Y40" s="60">
        <f t="shared" si="9"/>
        <v>643873.1089793673</v>
      </c>
      <c r="Z40" s="63">
        <f t="shared" si="10"/>
        <v>0.44824155893617229</v>
      </c>
      <c r="AA40" s="59">
        <f t="shared" si="11"/>
        <v>643893.28983821254</v>
      </c>
      <c r="AB40" s="60"/>
      <c r="AC40" s="59">
        <v>645396.63495376054</v>
      </c>
      <c r="AD40" s="106">
        <f t="shared" si="12"/>
        <v>-1503.3451155479997</v>
      </c>
      <c r="AE40" s="106">
        <v>-1497.0561409901129</v>
      </c>
      <c r="AF40" s="106">
        <f t="shared" si="13"/>
        <v>-6.2889745578868315</v>
      </c>
      <c r="AG40" s="59"/>
    </row>
    <row r="41" spans="2:33" x14ac:dyDescent="0.35">
      <c r="B41">
        <v>103</v>
      </c>
      <c r="C41" s="17">
        <v>3</v>
      </c>
      <c r="D41" s="22" t="s">
        <v>45</v>
      </c>
      <c r="E41" s="90">
        <v>4157.59</v>
      </c>
      <c r="F41" s="90">
        <f>INDEX('Revised 2019 Lockdown'!H$5:H$257,MATCH(B41,'Revised 2019 Lockdown'!B$5:B$257,0))</f>
        <v>4157.59</v>
      </c>
      <c r="G41" s="90">
        <f t="shared" si="2"/>
        <v>0</v>
      </c>
      <c r="H41" s="5">
        <v>1753178.73</v>
      </c>
      <c r="I41" s="5">
        <f>INDEX('Revised 2019 Lockdown'!E$5:E$257,MATCH(B41,'Revised 2019 Lockdown'!B$5:B$257,0))</f>
        <v>1753178.73</v>
      </c>
      <c r="J41" s="5">
        <f t="shared" si="3"/>
        <v>0</v>
      </c>
      <c r="K41" s="5">
        <v>368978.78</v>
      </c>
      <c r="L41" s="5">
        <f>INDEX('Revised 2019 Lockdown'!F$5:F$257,MATCH(B41,'Revised 2019 Lockdown'!B$5:B$257,0))</f>
        <v>368978.78</v>
      </c>
      <c r="M41" s="5">
        <f t="shared" si="4"/>
        <v>0</v>
      </c>
      <c r="N41" s="5">
        <v>1384199.95</v>
      </c>
      <c r="O41" s="60">
        <f>INDEX('Revised 2019 Lockdown'!G$5:G$257,MATCH(B41,'Revised 2019 Lockdown'!B$5:B$257,0))</f>
        <v>1384199.95</v>
      </c>
      <c r="P41" s="5">
        <f t="shared" si="5"/>
        <v>0</v>
      </c>
      <c r="Q41" s="58">
        <f t="shared" si="14"/>
        <v>332.93324979134542</v>
      </c>
      <c r="R41" s="6">
        <f t="shared" si="1"/>
        <v>332.93324979134542</v>
      </c>
      <c r="S41" s="5">
        <f t="shared" si="15"/>
        <v>1384199.95</v>
      </c>
      <c r="T41" s="82">
        <v>0.60069444444444442</v>
      </c>
      <c r="U41" s="60">
        <f t="shared" si="6"/>
        <v>319225.8821163075</v>
      </c>
      <c r="V41" s="60">
        <f t="shared" si="16"/>
        <v>297191.45553544402</v>
      </c>
      <c r="W41" s="60">
        <f t="shared" si="7"/>
        <v>57527.164173042911</v>
      </c>
      <c r="X41" s="60">
        <f t="shared" si="8"/>
        <v>16759.007418360477</v>
      </c>
      <c r="Y41" s="60">
        <f t="shared" si="9"/>
        <v>690703.50924315478</v>
      </c>
      <c r="Z41" s="63">
        <f t="shared" si="10"/>
        <v>0.49899113870301381</v>
      </c>
      <c r="AA41" s="59">
        <f t="shared" si="11"/>
        <v>690725.15790316183</v>
      </c>
      <c r="AB41" s="60"/>
      <c r="AC41" s="59">
        <v>692286.54493749328</v>
      </c>
      <c r="AD41" s="106">
        <f t="shared" si="12"/>
        <v>-1561.3870343314484</v>
      </c>
      <c r="AE41" s="106">
        <v>-1555.117957686889</v>
      </c>
      <c r="AF41" s="106">
        <f t="shared" si="13"/>
        <v>-6.2690766445593908</v>
      </c>
      <c r="AG41" s="59"/>
    </row>
    <row r="42" spans="2:33" x14ac:dyDescent="0.35">
      <c r="B42">
        <v>123</v>
      </c>
      <c r="C42" s="17">
        <v>3</v>
      </c>
      <c r="D42" s="22" t="s">
        <v>46</v>
      </c>
      <c r="E42" s="90">
        <v>6660.2900000000009</v>
      </c>
      <c r="F42" s="90">
        <f>INDEX('Revised 2019 Lockdown'!H$5:H$257,MATCH(B42,'Revised 2019 Lockdown'!B$5:B$257,0))</f>
        <v>6660.2900000000009</v>
      </c>
      <c r="G42" s="90">
        <f t="shared" si="2"/>
        <v>0</v>
      </c>
      <c r="H42" s="5">
        <v>2566391.4700000002</v>
      </c>
      <c r="I42" s="5">
        <f>INDEX('Revised 2019 Lockdown'!E$5:E$257,MATCH(B42,'Revised 2019 Lockdown'!B$5:B$257,0))</f>
        <v>2566779.13</v>
      </c>
      <c r="J42" s="5">
        <f t="shared" si="3"/>
        <v>387.65999999968335</v>
      </c>
      <c r="K42" s="5">
        <v>0</v>
      </c>
      <c r="L42" s="5">
        <f>INDEX('Revised 2019 Lockdown'!F$5:F$257,MATCH(B42,'Revised 2019 Lockdown'!B$5:B$257,0))</f>
        <v>0</v>
      </c>
      <c r="M42" s="5">
        <f t="shared" si="4"/>
        <v>0</v>
      </c>
      <c r="N42" s="5">
        <v>2566391.4700000002</v>
      </c>
      <c r="O42" s="60">
        <f>INDEX('Revised 2019 Lockdown'!G$5:G$257,MATCH(B42,'Revised 2019 Lockdown'!B$5:B$257,0))</f>
        <v>2566779.13</v>
      </c>
      <c r="P42" s="5">
        <f t="shared" si="5"/>
        <v>387.65999999968335</v>
      </c>
      <c r="Q42" s="58">
        <f t="shared" si="14"/>
        <v>385.38549072187539</v>
      </c>
      <c r="R42" s="6">
        <f t="shared" si="1"/>
        <v>385.38549072187539</v>
      </c>
      <c r="S42" s="5">
        <f t="shared" si="15"/>
        <v>2566779.13</v>
      </c>
      <c r="T42" s="82">
        <v>0.82638888888888884</v>
      </c>
      <c r="U42" s="60">
        <f t="shared" si="6"/>
        <v>591953.73614337901</v>
      </c>
      <c r="V42" s="60">
        <f t="shared" si="16"/>
        <v>476088.6184996987</v>
      </c>
      <c r="W42" s="60">
        <f t="shared" si="7"/>
        <v>146755.19708554601</v>
      </c>
      <c r="X42" s="60">
        <f t="shared" si="8"/>
        <v>31076.919545447789</v>
      </c>
      <c r="Y42" s="60">
        <f t="shared" si="9"/>
        <v>1245874.4712740714</v>
      </c>
      <c r="Z42" s="63">
        <f t="shared" si="10"/>
        <v>0.48538437012851643</v>
      </c>
      <c r="AA42" s="59">
        <f t="shared" si="11"/>
        <v>1245913.520609248</v>
      </c>
      <c r="AB42" s="60"/>
      <c r="AC42" s="59">
        <v>1248714.213705569</v>
      </c>
      <c r="AD42" s="106">
        <f t="shared" si="12"/>
        <v>-2800.6930963210762</v>
      </c>
      <c r="AE42" s="106">
        <v>-2788.4326224082615</v>
      </c>
      <c r="AF42" s="106">
        <f t="shared" si="13"/>
        <v>-12.260473912814632</v>
      </c>
      <c r="AG42" s="59"/>
    </row>
    <row r="43" spans="2:33" x14ac:dyDescent="0.35">
      <c r="B43">
        <v>179</v>
      </c>
      <c r="C43" s="17">
        <v>3</v>
      </c>
      <c r="D43" s="22" t="s">
        <v>47</v>
      </c>
      <c r="E43" s="90">
        <v>4762.12</v>
      </c>
      <c r="F43" s="90">
        <f>INDEX('Revised 2019 Lockdown'!H$5:H$257,MATCH(B43,'Revised 2019 Lockdown'!B$5:B$257,0))</f>
        <v>4763.5400000000009</v>
      </c>
      <c r="G43" s="90">
        <f t="shared" si="2"/>
        <v>1.4200000000009823</v>
      </c>
      <c r="H43" s="5">
        <v>2968846.76</v>
      </c>
      <c r="I43" s="5">
        <f>INDEX('Revised 2019 Lockdown'!E$5:E$257,MATCH(B43,'Revised 2019 Lockdown'!B$5:B$257,0))</f>
        <v>2969506.46</v>
      </c>
      <c r="J43" s="5">
        <f t="shared" si="3"/>
        <v>659.70000000018626</v>
      </c>
      <c r="K43" s="5">
        <v>514798.43000000005</v>
      </c>
      <c r="L43" s="5">
        <f>INDEX('Revised 2019 Lockdown'!F$5:F$257,MATCH(B43,'Revised 2019 Lockdown'!B$5:B$257,0))</f>
        <v>514954.06</v>
      </c>
      <c r="M43" s="5">
        <f t="shared" si="4"/>
        <v>155.62999999994645</v>
      </c>
      <c r="N43" s="5">
        <v>2454048.3299999996</v>
      </c>
      <c r="O43" s="60">
        <f>INDEX('Revised 2019 Lockdown'!G$5:G$257,MATCH(B43,'Revised 2019 Lockdown'!B$5:B$257,0))</f>
        <v>2454552.4</v>
      </c>
      <c r="P43" s="5">
        <f t="shared" si="5"/>
        <v>504.07000000029802</v>
      </c>
      <c r="Q43" s="58">
        <f t="shared" si="14"/>
        <v>515.27905717176714</v>
      </c>
      <c r="R43" s="6">
        <f t="shared" si="1"/>
        <v>515.27905717176714</v>
      </c>
      <c r="S43" s="5">
        <f t="shared" si="15"/>
        <v>2454552.4</v>
      </c>
      <c r="T43" s="82">
        <v>0.79166666666666674</v>
      </c>
      <c r="U43" s="60">
        <f t="shared" si="6"/>
        <v>566071.87067930447</v>
      </c>
      <c r="V43" s="60">
        <f t="shared" si="16"/>
        <v>340505.770434629</v>
      </c>
      <c r="W43" s="60">
        <f t="shared" si="7"/>
        <v>134442.06928633482</v>
      </c>
      <c r="X43" s="60">
        <f t="shared" si="8"/>
        <v>29718.15009844099</v>
      </c>
      <c r="Y43" s="60">
        <f t="shared" si="9"/>
        <v>1070737.8604987091</v>
      </c>
      <c r="Z43" s="63">
        <f t="shared" si="10"/>
        <v>0.43622530140269533</v>
      </c>
      <c r="AA43" s="59">
        <f t="shared" si="11"/>
        <v>1070771.4205423289</v>
      </c>
      <c r="AB43" s="60"/>
      <c r="AC43" s="59">
        <v>1073143.5375527691</v>
      </c>
      <c r="AD43" s="106">
        <f t="shared" si="12"/>
        <v>-2372.1170104402117</v>
      </c>
      <c r="AE43" s="106">
        <v>-2360.4856229929719</v>
      </c>
      <c r="AF43" s="106">
        <f t="shared" si="13"/>
        <v>-11.631387447239831</v>
      </c>
      <c r="AG43" s="59"/>
    </row>
    <row r="44" spans="2:33" x14ac:dyDescent="0.35">
      <c r="B44">
        <v>293</v>
      </c>
      <c r="C44" s="17">
        <v>3</v>
      </c>
      <c r="D44" s="22" t="s">
        <v>48</v>
      </c>
      <c r="E44" s="90">
        <v>7281.260000000002</v>
      </c>
      <c r="F44" s="90">
        <f>INDEX('Revised 2019 Lockdown'!H$5:H$257,MATCH(B44,'Revised 2019 Lockdown'!B$5:B$257,0))</f>
        <v>7281.260000000002</v>
      </c>
      <c r="G44" s="90">
        <f t="shared" si="2"/>
        <v>0</v>
      </c>
      <c r="H44" s="5">
        <v>2668555.6</v>
      </c>
      <c r="I44" s="5">
        <f>INDEX('Revised 2019 Lockdown'!E$5:E$257,MATCH(B44,'Revised 2019 Lockdown'!B$5:B$257,0))</f>
        <v>2668555.6</v>
      </c>
      <c r="J44" s="5">
        <f t="shared" si="3"/>
        <v>0</v>
      </c>
      <c r="K44" s="5">
        <v>804269.87</v>
      </c>
      <c r="L44" s="5">
        <f>INDEX('Revised 2019 Lockdown'!F$5:F$257,MATCH(B44,'Revised 2019 Lockdown'!B$5:B$257,0))</f>
        <v>804269.87</v>
      </c>
      <c r="M44" s="5">
        <f t="shared" si="4"/>
        <v>0</v>
      </c>
      <c r="N44" s="5">
        <v>1864285.73</v>
      </c>
      <c r="O44" s="60">
        <f>INDEX('Revised 2019 Lockdown'!G$5:G$257,MATCH(B44,'Revised 2019 Lockdown'!B$5:B$257,0))</f>
        <v>1864285.73</v>
      </c>
      <c r="P44" s="5">
        <f t="shared" si="5"/>
        <v>0</v>
      </c>
      <c r="Q44" s="58">
        <f t="shared" si="14"/>
        <v>256.0388902470176</v>
      </c>
      <c r="R44" s="6">
        <f t="shared" si="1"/>
        <v>256.0388902470176</v>
      </c>
      <c r="S44" s="5">
        <f t="shared" si="15"/>
        <v>1864285.73</v>
      </c>
      <c r="T44" s="82">
        <v>0.87037037037037024</v>
      </c>
      <c r="U44" s="60">
        <f t="shared" si="6"/>
        <v>429943.85072481353</v>
      </c>
      <c r="V44" s="60">
        <f t="shared" si="16"/>
        <v>520476.5880069962</v>
      </c>
      <c r="W44" s="60">
        <f t="shared" si="7"/>
        <v>112263.11657814572</v>
      </c>
      <c r="X44" s="60">
        <f t="shared" si="8"/>
        <v>22571.5788958189</v>
      </c>
      <c r="Y44" s="60">
        <f t="shared" si="9"/>
        <v>1085255.1342057744</v>
      </c>
      <c r="Z44" s="63">
        <f t="shared" si="10"/>
        <v>0.58212918585488205</v>
      </c>
      <c r="AA44" s="59">
        <f t="shared" si="11"/>
        <v>1085289.1492630411</v>
      </c>
      <c r="AB44" s="60"/>
      <c r="AC44" s="59">
        <v>1087650.2754469365</v>
      </c>
      <c r="AD44" s="106">
        <f t="shared" si="12"/>
        <v>-2361.1261838953942</v>
      </c>
      <c r="AE44" s="106">
        <v>-2352.1319815525785</v>
      </c>
      <c r="AF44" s="106">
        <f t="shared" si="13"/>
        <v>-8.9942023428156972</v>
      </c>
      <c r="AG44" s="59"/>
    </row>
    <row r="45" spans="2:33" x14ac:dyDescent="0.35">
      <c r="B45">
        <v>12</v>
      </c>
      <c r="C45" s="17">
        <v>4</v>
      </c>
      <c r="D45" s="22" t="s">
        <v>49</v>
      </c>
      <c r="E45" s="90">
        <v>4825.329999999999</v>
      </c>
      <c r="F45" s="90">
        <f>INDEX('Revised 2019 Lockdown'!H$5:H$257,MATCH(B45,'Revised 2019 Lockdown'!B$5:B$257,0))</f>
        <v>4825.329999999999</v>
      </c>
      <c r="G45" s="90">
        <f t="shared" si="2"/>
        <v>0</v>
      </c>
      <c r="H45" s="5">
        <v>3046146.58</v>
      </c>
      <c r="I45" s="5">
        <f>INDEX('Revised 2019 Lockdown'!E$5:E$257,MATCH(B45,'Revised 2019 Lockdown'!B$5:B$257,0))</f>
        <v>3052966.7</v>
      </c>
      <c r="J45" s="5">
        <f t="shared" si="3"/>
        <v>6820.1200000001118</v>
      </c>
      <c r="K45" s="5">
        <v>488646.3899999999</v>
      </c>
      <c r="L45" s="5">
        <f>INDEX('Revised 2019 Lockdown'!F$5:F$257,MATCH(B45,'Revised 2019 Lockdown'!B$5:B$257,0))</f>
        <v>488646.3899999999</v>
      </c>
      <c r="M45" s="5">
        <f t="shared" si="4"/>
        <v>0</v>
      </c>
      <c r="N45" s="5">
        <v>2557500.1900000004</v>
      </c>
      <c r="O45" s="60">
        <f>INDEX('Revised 2019 Lockdown'!G$5:G$257,MATCH(B45,'Revised 2019 Lockdown'!B$5:B$257,0))</f>
        <v>2564320.3100000005</v>
      </c>
      <c r="P45" s="5">
        <f t="shared" si="5"/>
        <v>6820.1200000001118</v>
      </c>
      <c r="Q45" s="58">
        <f t="shared" si="14"/>
        <v>531.42900278322952</v>
      </c>
      <c r="R45" s="6">
        <f t="shared" si="1"/>
        <v>531.42900278322952</v>
      </c>
      <c r="S45" s="5">
        <f t="shared" si="15"/>
        <v>2564320.3100000005</v>
      </c>
      <c r="T45" s="82">
        <v>0.7777777777777779</v>
      </c>
      <c r="U45" s="60">
        <f t="shared" si="6"/>
        <v>591386.68007357849</v>
      </c>
      <c r="V45" s="60">
        <f t="shared" si="16"/>
        <v>344922.62251420744</v>
      </c>
      <c r="W45" s="60">
        <f t="shared" si="7"/>
        <v>137990.22535050166</v>
      </c>
      <c r="X45" s="60">
        <f t="shared" si="8"/>
        <v>31047.149725978859</v>
      </c>
      <c r="Y45" s="60">
        <f t="shared" si="9"/>
        <v>1105346.6776642667</v>
      </c>
      <c r="Z45" s="63">
        <f t="shared" si="10"/>
        <v>0.43104859925407152</v>
      </c>
      <c r="AA45" s="59">
        <f t="shared" si="11"/>
        <v>1105381.3224490322</v>
      </c>
      <c r="AB45" s="60"/>
      <c r="AC45" s="59">
        <v>1106073.038764653</v>
      </c>
      <c r="AD45" s="106">
        <f t="shared" si="12"/>
        <v>-691.71631562081166</v>
      </c>
      <c r="AE45" s="106">
        <v>-679.60378211387433</v>
      </c>
      <c r="AF45" s="106">
        <f t="shared" si="13"/>
        <v>-12.112533506937325</v>
      </c>
      <c r="AG45" s="59"/>
    </row>
    <row r="46" spans="2:33" x14ac:dyDescent="0.35">
      <c r="B46">
        <v>21</v>
      </c>
      <c r="C46" s="17">
        <v>4</v>
      </c>
      <c r="D46" s="22" t="s">
        <v>50</v>
      </c>
      <c r="E46" s="90">
        <v>5084.4800000000014</v>
      </c>
      <c r="F46" s="90">
        <f>INDEX('Revised 2019 Lockdown'!H$5:H$257,MATCH(B46,'Revised 2019 Lockdown'!B$5:B$257,0))</f>
        <v>5084.4800000000014</v>
      </c>
      <c r="G46" s="90">
        <f t="shared" si="2"/>
        <v>0</v>
      </c>
      <c r="H46" s="5">
        <v>3295191.2</v>
      </c>
      <c r="I46" s="5">
        <f>INDEX('Revised 2019 Lockdown'!E$5:E$257,MATCH(B46,'Revised 2019 Lockdown'!B$5:B$257,0))</f>
        <v>3295191.2</v>
      </c>
      <c r="J46" s="5">
        <f t="shared" si="3"/>
        <v>0</v>
      </c>
      <c r="K46" s="5">
        <v>429434.07</v>
      </c>
      <c r="L46" s="5">
        <f>INDEX('Revised 2019 Lockdown'!F$5:F$257,MATCH(B46,'Revised 2019 Lockdown'!B$5:B$257,0))</f>
        <v>429434.07</v>
      </c>
      <c r="M46" s="5">
        <f t="shared" si="4"/>
        <v>0</v>
      </c>
      <c r="N46" s="5">
        <v>2865757.1300000004</v>
      </c>
      <c r="O46" s="60">
        <f>INDEX('Revised 2019 Lockdown'!G$5:G$257,MATCH(B46,'Revised 2019 Lockdown'!B$5:B$257,0))</f>
        <v>2865757.1300000004</v>
      </c>
      <c r="P46" s="5">
        <f t="shared" si="5"/>
        <v>0</v>
      </c>
      <c r="Q46" s="58">
        <f t="shared" si="14"/>
        <v>563.6283612090125</v>
      </c>
      <c r="R46" s="6">
        <f t="shared" si="1"/>
        <v>563.6283612090125</v>
      </c>
      <c r="S46" s="5">
        <f t="shared" si="15"/>
        <v>2865757.1300000008</v>
      </c>
      <c r="T46" s="82">
        <v>0.7777777777777779</v>
      </c>
      <c r="U46" s="60">
        <f t="shared" si="6"/>
        <v>660904.40745598066</v>
      </c>
      <c r="V46" s="60">
        <f t="shared" si="16"/>
        <v>363447.09599572216</v>
      </c>
      <c r="W46" s="60">
        <f t="shared" si="7"/>
        <v>154211.02840639549</v>
      </c>
      <c r="X46" s="60">
        <f t="shared" si="8"/>
        <v>34696.75389085908</v>
      </c>
      <c r="Y46" s="60">
        <f t="shared" si="9"/>
        <v>1213259.2857489577</v>
      </c>
      <c r="Z46" s="63">
        <f t="shared" si="10"/>
        <v>0.42336430852706536</v>
      </c>
      <c r="AA46" s="59">
        <f t="shared" si="11"/>
        <v>1213297.3128292114</v>
      </c>
      <c r="AB46" s="60"/>
      <c r="AC46" s="59">
        <v>1216308.9327997696</v>
      </c>
      <c r="AD46" s="106">
        <f t="shared" si="12"/>
        <v>-3011.6199705582112</v>
      </c>
      <c r="AE46" s="106">
        <v>-2998.0835227516945</v>
      </c>
      <c r="AF46" s="106">
        <f t="shared" si="13"/>
        <v>-13.536447806516662</v>
      </c>
      <c r="AG46" s="59"/>
    </row>
    <row r="47" spans="2:33" x14ac:dyDescent="0.35">
      <c r="B47">
        <v>34</v>
      </c>
      <c r="C47" s="17">
        <v>4</v>
      </c>
      <c r="D47" s="22" t="s">
        <v>51</v>
      </c>
      <c r="E47" s="90">
        <v>4463.82</v>
      </c>
      <c r="F47" s="90">
        <f>INDEX('Revised 2019 Lockdown'!H$5:H$257,MATCH(B47,'Revised 2019 Lockdown'!B$5:B$257,0))</f>
        <v>4463.82</v>
      </c>
      <c r="G47" s="90">
        <f t="shared" si="2"/>
        <v>0</v>
      </c>
      <c r="H47" s="5">
        <v>2138130.23</v>
      </c>
      <c r="I47" s="5">
        <f>INDEX('Revised 2019 Lockdown'!E$5:E$257,MATCH(B47,'Revised 2019 Lockdown'!B$5:B$257,0))</f>
        <v>2138130.23</v>
      </c>
      <c r="J47" s="5">
        <f t="shared" si="3"/>
        <v>0</v>
      </c>
      <c r="K47" s="5">
        <v>417619.64</v>
      </c>
      <c r="L47" s="5">
        <f>INDEX('Revised 2019 Lockdown'!F$5:F$257,MATCH(B47,'Revised 2019 Lockdown'!B$5:B$257,0))</f>
        <v>417619.64</v>
      </c>
      <c r="M47" s="5">
        <f t="shared" si="4"/>
        <v>0</v>
      </c>
      <c r="N47" s="5">
        <v>1720510.5899999999</v>
      </c>
      <c r="O47" s="60">
        <f>INDEX('Revised 2019 Lockdown'!G$5:G$257,MATCH(B47,'Revised 2019 Lockdown'!B$5:B$257,0))</f>
        <v>1720510.5899999999</v>
      </c>
      <c r="P47" s="5">
        <f t="shared" si="5"/>
        <v>0</v>
      </c>
      <c r="Q47" s="58">
        <f t="shared" si="14"/>
        <v>385.43458069545812</v>
      </c>
      <c r="R47" s="6">
        <f t="shared" si="1"/>
        <v>385.43458069545812</v>
      </c>
      <c r="S47" s="5">
        <f t="shared" si="15"/>
        <v>1720510.5899999999</v>
      </c>
      <c r="T47" s="82">
        <v>0.88888888888888906</v>
      </c>
      <c r="U47" s="60">
        <f t="shared" si="6"/>
        <v>396786.25243643351</v>
      </c>
      <c r="V47" s="60">
        <f t="shared" si="16"/>
        <v>319081.28580457077</v>
      </c>
      <c r="W47" s="60">
        <f t="shared" si="7"/>
        <v>105809.66731638229</v>
      </c>
      <c r="X47" s="60">
        <f t="shared" si="8"/>
        <v>20830.841484409648</v>
      </c>
      <c r="Y47" s="60">
        <f t="shared" si="9"/>
        <v>842508.04704179626</v>
      </c>
      <c r="Z47" s="63">
        <f t="shared" si="10"/>
        <v>0.48968489466943432</v>
      </c>
      <c r="AA47" s="59">
        <f t="shared" si="11"/>
        <v>842534.45369822625</v>
      </c>
      <c r="AB47" s="60"/>
      <c r="AC47" s="59">
        <v>844511.9132760826</v>
      </c>
      <c r="AD47" s="106">
        <f t="shared" si="12"/>
        <v>-1977.4595778563526</v>
      </c>
      <c r="AE47" s="106">
        <v>-1969.1234843806596</v>
      </c>
      <c r="AF47" s="106">
        <f t="shared" si="13"/>
        <v>-8.3360934756929055</v>
      </c>
      <c r="AG47" s="59"/>
    </row>
    <row r="48" spans="2:33" x14ac:dyDescent="0.35">
      <c r="B48">
        <v>87</v>
      </c>
      <c r="C48" s="17">
        <v>4</v>
      </c>
      <c r="D48" s="22" t="s">
        <v>52</v>
      </c>
      <c r="E48" s="90">
        <v>10810.4</v>
      </c>
      <c r="F48" s="90">
        <f>INDEX('Revised 2019 Lockdown'!H$5:H$257,MATCH(B48,'Revised 2019 Lockdown'!B$5:B$257,0))</f>
        <v>10236.479999999998</v>
      </c>
      <c r="G48" s="90">
        <f t="shared" si="2"/>
        <v>-573.92000000000189</v>
      </c>
      <c r="H48" s="5">
        <v>4847089.93</v>
      </c>
      <c r="I48" s="5">
        <f>INDEX('Revised 2019 Lockdown'!E$5:E$257,MATCH(B48,'Revised 2019 Lockdown'!B$5:B$257,0))</f>
        <v>4913017.38</v>
      </c>
      <c r="J48" s="5">
        <f t="shared" si="3"/>
        <v>65927.450000000186</v>
      </c>
      <c r="K48" s="5">
        <v>1112264.4600000002</v>
      </c>
      <c r="L48" s="5">
        <f>INDEX('Revised 2019 Lockdown'!F$5:F$257,MATCH(B48,'Revised 2019 Lockdown'!B$5:B$257,0))</f>
        <v>799960.04</v>
      </c>
      <c r="M48" s="5">
        <f t="shared" si="4"/>
        <v>-312304.42000000016</v>
      </c>
      <c r="N48" s="5">
        <v>3734825.4699999997</v>
      </c>
      <c r="O48" s="60">
        <f>INDEX('Revised 2019 Lockdown'!G$5:G$257,MATCH(B48,'Revised 2019 Lockdown'!B$5:B$257,0))</f>
        <v>4113057.34</v>
      </c>
      <c r="P48" s="5">
        <f t="shared" si="5"/>
        <v>378231.87000000011</v>
      </c>
      <c r="Q48" s="58">
        <f t="shared" si="14"/>
        <v>401.80387594173004</v>
      </c>
      <c r="R48" s="6">
        <f t="shared" si="1"/>
        <v>401.80387594173004</v>
      </c>
      <c r="S48" s="5">
        <f t="shared" si="15"/>
        <v>4113057.34</v>
      </c>
      <c r="T48" s="82">
        <v>0.95833333333333348</v>
      </c>
      <c r="U48" s="60">
        <f t="shared" si="6"/>
        <v>948558.30442448251</v>
      </c>
      <c r="V48" s="60">
        <f t="shared" si="16"/>
        <v>731720.63401140098</v>
      </c>
      <c r="W48" s="60">
        <f t="shared" si="7"/>
        <v>272710.51252203877</v>
      </c>
      <c r="X48" s="60">
        <f t="shared" si="8"/>
        <v>49798.26684230267</v>
      </c>
      <c r="Y48" s="60">
        <f t="shared" si="9"/>
        <v>2002787.7178002249</v>
      </c>
      <c r="Z48" s="63">
        <f t="shared" si="10"/>
        <v>0.48693406199881106</v>
      </c>
      <c r="AA48" s="59">
        <f t="shared" si="11"/>
        <v>2002850.4910014446</v>
      </c>
      <c r="AB48" s="60"/>
      <c r="AC48" s="59">
        <v>1931436.1864833948</v>
      </c>
      <c r="AD48" s="106">
        <f t="shared" si="12"/>
        <v>71414.304518049816</v>
      </c>
      <c r="AE48" s="106">
        <v>71434.546102174325</v>
      </c>
      <c r="AF48" s="106">
        <f t="shared" si="13"/>
        <v>-20.241584124509245</v>
      </c>
      <c r="AG48" s="59"/>
    </row>
    <row r="49" spans="2:33" x14ac:dyDescent="0.35">
      <c r="B49">
        <v>88</v>
      </c>
      <c r="C49" s="17">
        <v>4</v>
      </c>
      <c r="D49" s="22" t="s">
        <v>53</v>
      </c>
      <c r="E49" s="90">
        <v>4907.8008</v>
      </c>
      <c r="F49" s="90">
        <f>INDEX('Revised 2019 Lockdown'!H$5:H$257,MATCH(B49,'Revised 2019 Lockdown'!B$5:B$257,0))</f>
        <v>4907.8008</v>
      </c>
      <c r="G49" s="90">
        <f t="shared" si="2"/>
        <v>0</v>
      </c>
      <c r="H49" s="5">
        <v>2453153.67</v>
      </c>
      <c r="I49" s="5">
        <f>INDEX('Revised 2019 Lockdown'!E$5:E$257,MATCH(B49,'Revised 2019 Lockdown'!B$5:B$257,0))</f>
        <v>2453153.67</v>
      </c>
      <c r="J49" s="5">
        <f t="shared" si="3"/>
        <v>0</v>
      </c>
      <c r="K49" s="5">
        <v>459020.94</v>
      </c>
      <c r="L49" s="5">
        <f>INDEX('Revised 2019 Lockdown'!F$5:F$257,MATCH(B49,'Revised 2019 Lockdown'!B$5:B$257,0))</f>
        <v>459020.94</v>
      </c>
      <c r="M49" s="5">
        <f t="shared" si="4"/>
        <v>0</v>
      </c>
      <c r="N49" s="5">
        <v>1994132.73</v>
      </c>
      <c r="O49" s="60">
        <f>INDEX('Revised 2019 Lockdown'!G$5:G$257,MATCH(B49,'Revised 2019 Lockdown'!B$5:B$257,0))</f>
        <v>1994132.73</v>
      </c>
      <c r="P49" s="5">
        <f t="shared" si="5"/>
        <v>0</v>
      </c>
      <c r="Q49" s="58">
        <f t="shared" si="14"/>
        <v>406.31900341187441</v>
      </c>
      <c r="R49" s="6">
        <f t="shared" si="1"/>
        <v>406.31900341187441</v>
      </c>
      <c r="S49" s="5">
        <f t="shared" si="15"/>
        <v>1994132.73</v>
      </c>
      <c r="T49" s="82">
        <v>0.95833333333333348</v>
      </c>
      <c r="U49" s="60">
        <f t="shared" si="6"/>
        <v>459889.32436477154</v>
      </c>
      <c r="V49" s="60">
        <f t="shared" si="16"/>
        <v>350817.77261105983</v>
      </c>
      <c r="W49" s="60">
        <f t="shared" si="7"/>
        <v>132218.18075487184</v>
      </c>
      <c r="X49" s="60">
        <f t="shared" si="8"/>
        <v>24143.683298981072</v>
      </c>
      <c r="Y49" s="60">
        <f t="shared" si="9"/>
        <v>967068.96102968417</v>
      </c>
      <c r="Z49" s="63">
        <f t="shared" si="10"/>
        <v>0.48495716783590637</v>
      </c>
      <c r="AA49" s="59">
        <f t="shared" si="11"/>
        <v>967099.27178800595</v>
      </c>
      <c r="AB49" s="60"/>
      <c r="AC49" s="59">
        <v>969395.07477514539</v>
      </c>
      <c r="AD49" s="106">
        <f t="shared" si="12"/>
        <v>-2295.8029871394392</v>
      </c>
      <c r="AE49" s="106">
        <v>-2285.9892495666863</v>
      </c>
      <c r="AF49" s="106">
        <f t="shared" si="13"/>
        <v>-9.8137375727528706</v>
      </c>
      <c r="AG49" s="59"/>
    </row>
    <row r="50" spans="2:33" x14ac:dyDescent="0.35">
      <c r="B50">
        <v>89</v>
      </c>
      <c r="C50" s="17">
        <v>4</v>
      </c>
      <c r="D50" s="22" t="s">
        <v>344</v>
      </c>
      <c r="E50" s="90">
        <v>5289.19</v>
      </c>
      <c r="F50" s="90">
        <f>INDEX('Revised 2019 Lockdown'!H$5:H$257,MATCH(B50,'Revised 2019 Lockdown'!B$5:B$257,0))</f>
        <v>5289.19</v>
      </c>
      <c r="G50" s="90">
        <f t="shared" si="2"/>
        <v>0</v>
      </c>
      <c r="H50" s="5">
        <v>4597599.62</v>
      </c>
      <c r="I50" s="5">
        <f>INDEX('Revised 2019 Lockdown'!E$5:E$257,MATCH(B50,'Revised 2019 Lockdown'!B$5:B$257,0))</f>
        <v>4597416.66</v>
      </c>
      <c r="J50" s="5">
        <f t="shared" si="3"/>
        <v>-182.95999999996275</v>
      </c>
      <c r="K50" s="5">
        <v>379921.47</v>
      </c>
      <c r="L50" s="5">
        <f>INDEX('Revised 2019 Lockdown'!F$5:F$257,MATCH(B50,'Revised 2019 Lockdown'!B$5:B$257,0))</f>
        <v>379921.47</v>
      </c>
      <c r="M50" s="5">
        <f t="shared" si="4"/>
        <v>0</v>
      </c>
      <c r="N50" s="5">
        <v>4217678.1500000004</v>
      </c>
      <c r="O50" s="60">
        <f>INDEX('Revised 2019 Lockdown'!G$5:G$257,MATCH(B50,'Revised 2019 Lockdown'!B$5:B$257,0))</f>
        <v>4217495.1900000004</v>
      </c>
      <c r="P50" s="5">
        <f t="shared" si="5"/>
        <v>-182.95999999996275</v>
      </c>
      <c r="Q50" s="58">
        <f t="shared" si="14"/>
        <v>797.38016407049111</v>
      </c>
      <c r="R50" s="6">
        <f t="shared" si="1"/>
        <v>696.61159504546504</v>
      </c>
      <c r="S50" s="5">
        <f t="shared" si="15"/>
        <v>3684511.0823985231</v>
      </c>
      <c r="T50" s="82">
        <v>0.7754629629629628</v>
      </c>
      <c r="U50" s="60">
        <f t="shared" si="6"/>
        <v>849726.4433841221</v>
      </c>
      <c r="V50" s="60">
        <f t="shared" si="16"/>
        <v>378080.10763531632</v>
      </c>
      <c r="W50" s="60">
        <f t="shared" si="7"/>
        <v>197679.41564838946</v>
      </c>
      <c r="X50" s="60">
        <f t="shared" si="8"/>
        <v>44609.70292835818</v>
      </c>
      <c r="Y50" s="60">
        <f t="shared" si="9"/>
        <v>1470095.6695961861</v>
      </c>
      <c r="Z50" s="63">
        <f t="shared" si="10"/>
        <v>0.39899341777503655</v>
      </c>
      <c r="AA50" s="59">
        <f t="shared" si="11"/>
        <v>1470141.7466768769</v>
      </c>
      <c r="AB50" s="60"/>
      <c r="AC50" s="59">
        <v>1490862.833660702</v>
      </c>
      <c r="AD50" s="106">
        <f t="shared" si="12"/>
        <v>-20721.08698382508</v>
      </c>
      <c r="AE50" s="106">
        <v>-20741.312822145876</v>
      </c>
      <c r="AF50" s="106">
        <f t="shared" si="13"/>
        <v>20.225838320795447</v>
      </c>
      <c r="AG50" s="59"/>
    </row>
    <row r="51" spans="2:33" x14ac:dyDescent="0.35">
      <c r="B51">
        <v>143</v>
      </c>
      <c r="C51" s="17">
        <v>4</v>
      </c>
      <c r="D51" s="22" t="s">
        <v>55</v>
      </c>
      <c r="E51" s="90">
        <v>2868.39</v>
      </c>
      <c r="F51" s="90">
        <f>INDEX('Revised 2019 Lockdown'!H$5:H$257,MATCH(B51,'Revised 2019 Lockdown'!B$5:B$257,0))</f>
        <v>2868.39</v>
      </c>
      <c r="G51" s="90">
        <f t="shared" si="2"/>
        <v>0</v>
      </c>
      <c r="H51" s="5">
        <v>871204.41</v>
      </c>
      <c r="I51" s="5">
        <f>INDEX('Revised 2019 Lockdown'!E$5:E$257,MATCH(B51,'Revised 2019 Lockdown'!B$5:B$257,0))</f>
        <v>871204.41</v>
      </c>
      <c r="J51" s="5">
        <f t="shared" si="3"/>
        <v>0</v>
      </c>
      <c r="K51" s="5">
        <v>280661.95</v>
      </c>
      <c r="L51" s="5">
        <f>INDEX('Revised 2019 Lockdown'!F$5:F$257,MATCH(B51,'Revised 2019 Lockdown'!B$5:B$257,0))</f>
        <v>280661.95</v>
      </c>
      <c r="M51" s="5">
        <f t="shared" si="4"/>
        <v>0</v>
      </c>
      <c r="N51" s="5">
        <v>590542.46</v>
      </c>
      <c r="O51" s="60">
        <f>INDEX('Revised 2019 Lockdown'!G$5:G$257,MATCH(B51,'Revised 2019 Lockdown'!B$5:B$257,0))</f>
        <v>590542.46</v>
      </c>
      <c r="P51" s="5">
        <f t="shared" si="5"/>
        <v>0</v>
      </c>
      <c r="Q51" s="58">
        <f t="shared" si="14"/>
        <v>205.87941667625392</v>
      </c>
      <c r="R51" s="6">
        <f t="shared" si="1"/>
        <v>205.87941667625392</v>
      </c>
      <c r="S51" s="5">
        <f t="shared" si="15"/>
        <v>590542.46</v>
      </c>
      <c r="T51" s="82">
        <v>0.79861111111111116</v>
      </c>
      <c r="U51" s="60">
        <f t="shared" si="6"/>
        <v>136191.62298093873</v>
      </c>
      <c r="V51" s="60">
        <f t="shared" si="16"/>
        <v>205037.29303353917</v>
      </c>
      <c r="W51" s="60">
        <f t="shared" si="7"/>
        <v>32629.243005849901</v>
      </c>
      <c r="X51" s="60">
        <f t="shared" si="8"/>
        <v>7149.9102914985979</v>
      </c>
      <c r="Y51" s="60">
        <f t="shared" si="9"/>
        <v>381008.06931182637</v>
      </c>
      <c r="Z51" s="63">
        <f t="shared" si="10"/>
        <v>0.6451831919280222</v>
      </c>
      <c r="AA51" s="59">
        <f t="shared" si="11"/>
        <v>381020.01121459954</v>
      </c>
      <c r="AB51" s="60"/>
      <c r="AC51" s="59">
        <v>381811.08680231415</v>
      </c>
      <c r="AD51" s="106">
        <f t="shared" si="12"/>
        <v>-791.07558771461481</v>
      </c>
      <c r="AE51" s="106">
        <v>-788.27314275404206</v>
      </c>
      <c r="AF51" s="106">
        <f t="shared" si="13"/>
        <v>-2.8024449605727568</v>
      </c>
      <c r="AG51" s="59"/>
    </row>
    <row r="52" spans="2:33" x14ac:dyDescent="0.35">
      <c r="B52">
        <v>183</v>
      </c>
      <c r="C52" s="17">
        <v>4</v>
      </c>
      <c r="D52" s="22" t="s">
        <v>56</v>
      </c>
      <c r="E52" s="90">
        <v>9420.8800000000028</v>
      </c>
      <c r="F52" s="90">
        <f>INDEX('Revised 2019 Lockdown'!H$5:H$257,MATCH(B52,'Revised 2019 Lockdown'!B$5:B$257,0))</f>
        <v>10899.530000000002</v>
      </c>
      <c r="G52" s="90">
        <f t="shared" si="2"/>
        <v>1478.6499999999996</v>
      </c>
      <c r="H52" s="5">
        <v>6636509.4800000004</v>
      </c>
      <c r="I52" s="5">
        <f>INDEX('Revised 2019 Lockdown'!E$5:E$257,MATCH(B52,'Revised 2019 Lockdown'!B$5:B$257,0))</f>
        <v>6984982.6799999997</v>
      </c>
      <c r="J52" s="5">
        <f t="shared" si="3"/>
        <v>348473.19999999925</v>
      </c>
      <c r="K52" s="5">
        <v>345255.24999999994</v>
      </c>
      <c r="L52" s="5">
        <f>INDEX('Revised 2019 Lockdown'!F$5:F$257,MATCH(B52,'Revised 2019 Lockdown'!B$5:B$257,0))</f>
        <v>345255.24999999994</v>
      </c>
      <c r="M52" s="5">
        <f t="shared" si="4"/>
        <v>0</v>
      </c>
      <c r="N52" s="5">
        <v>6291254.2300000004</v>
      </c>
      <c r="O52" s="60">
        <f>INDEX('Revised 2019 Lockdown'!G$5:G$257,MATCH(B52,'Revised 2019 Lockdown'!B$5:B$257,0))</f>
        <v>6639727.4299999997</v>
      </c>
      <c r="P52" s="5">
        <f t="shared" si="5"/>
        <v>348473.19999999925</v>
      </c>
      <c r="Q52" s="58">
        <f t="shared" si="14"/>
        <v>609.17557270818088</v>
      </c>
      <c r="R52" s="6">
        <f t="shared" si="1"/>
        <v>609.17557270818088</v>
      </c>
      <c r="S52" s="5">
        <f t="shared" si="15"/>
        <v>6639727.4300000006</v>
      </c>
      <c r="T52" s="82">
        <v>0.79166666666666674</v>
      </c>
      <c r="U52" s="60">
        <f t="shared" si="6"/>
        <v>1531262.0448032769</v>
      </c>
      <c r="V52" s="60">
        <f t="shared" si="16"/>
        <v>779116.55198137346</v>
      </c>
      <c r="W52" s="60">
        <f t="shared" si="7"/>
        <v>363674.73564077826</v>
      </c>
      <c r="X52" s="60">
        <f t="shared" si="8"/>
        <v>80389.571792183313</v>
      </c>
      <c r="Y52" s="60">
        <f t="shared" si="9"/>
        <v>2754442.904217612</v>
      </c>
      <c r="Z52" s="63">
        <f t="shared" si="10"/>
        <v>0.41484276775765355</v>
      </c>
      <c r="AA52" s="59">
        <f t="shared" si="11"/>
        <v>2754529.2364819543</v>
      </c>
      <c r="AB52" s="60"/>
      <c r="AC52" s="59">
        <v>2551623.9019188159</v>
      </c>
      <c r="AD52" s="106">
        <f t="shared" si="12"/>
        <v>202905.33456313843</v>
      </c>
      <c r="AE52" s="106">
        <v>202936.79876437737</v>
      </c>
      <c r="AF52" s="106">
        <f t="shared" si="13"/>
        <v>-31.464201238937676</v>
      </c>
      <c r="AG52" s="59"/>
    </row>
    <row r="53" spans="2:33" x14ac:dyDescent="0.35">
      <c r="B53">
        <v>186</v>
      </c>
      <c r="C53" s="17">
        <v>4</v>
      </c>
      <c r="D53" s="22" t="s">
        <v>57</v>
      </c>
      <c r="E53" s="90">
        <v>10708.64</v>
      </c>
      <c r="F53" s="90">
        <f>INDEX('Revised 2019 Lockdown'!H$5:H$257,MATCH(B53,'Revised 2019 Lockdown'!B$5:B$257,0))</f>
        <v>10708.64</v>
      </c>
      <c r="G53" s="90">
        <f t="shared" si="2"/>
        <v>0</v>
      </c>
      <c r="H53" s="5">
        <v>8376430.6799999997</v>
      </c>
      <c r="I53" s="5">
        <f>INDEX('Revised 2019 Lockdown'!E$5:E$257,MATCH(B53,'Revised 2019 Lockdown'!B$5:B$257,0))</f>
        <v>8376518.0300000003</v>
      </c>
      <c r="J53" s="5">
        <f t="shared" si="3"/>
        <v>87.350000000558794</v>
      </c>
      <c r="K53" s="5">
        <v>1283505.8</v>
      </c>
      <c r="L53" s="5">
        <f>INDEX('Revised 2019 Lockdown'!F$5:F$257,MATCH(B53,'Revised 2019 Lockdown'!B$5:B$257,0))</f>
        <v>1283505.8</v>
      </c>
      <c r="M53" s="5">
        <f t="shared" si="4"/>
        <v>0</v>
      </c>
      <c r="N53" s="5">
        <v>7092924.8799999999</v>
      </c>
      <c r="O53" s="60">
        <f>INDEX('Revised 2019 Lockdown'!G$5:G$257,MATCH(B53,'Revised 2019 Lockdown'!B$5:B$257,0))</f>
        <v>7093012.2300000004</v>
      </c>
      <c r="P53" s="5">
        <f t="shared" si="5"/>
        <v>87.350000000558794</v>
      </c>
      <c r="Q53" s="58">
        <f t="shared" si="14"/>
        <v>662.36349620493365</v>
      </c>
      <c r="R53" s="6">
        <f t="shared" si="1"/>
        <v>662.36349620493365</v>
      </c>
      <c r="S53" s="5">
        <f t="shared" si="15"/>
        <v>7093012.2300000004</v>
      </c>
      <c r="T53" s="82">
        <v>0.78703703703703698</v>
      </c>
      <c r="U53" s="60">
        <f t="shared" si="6"/>
        <v>1635799.1386891089</v>
      </c>
      <c r="V53" s="60">
        <f t="shared" si="16"/>
        <v>765471.4169519064</v>
      </c>
      <c r="W53" s="60">
        <f t="shared" si="7"/>
        <v>386230.35219048406</v>
      </c>
      <c r="X53" s="60">
        <f t="shared" si="8"/>
        <v>85877.654150393224</v>
      </c>
      <c r="Y53" s="60">
        <f t="shared" si="9"/>
        <v>2873378.5619818927</v>
      </c>
      <c r="Z53" s="63">
        <f t="shared" si="10"/>
        <v>0.4050999023840528</v>
      </c>
      <c r="AA53" s="59">
        <f t="shared" si="11"/>
        <v>2873468.6220362103</v>
      </c>
      <c r="AB53" s="60"/>
      <c r="AC53" s="59">
        <v>2880737.0320604597</v>
      </c>
      <c r="AD53" s="106">
        <f t="shared" si="12"/>
        <v>-7268.4100242494605</v>
      </c>
      <c r="AE53" s="106">
        <v>-7234.8335650381632</v>
      </c>
      <c r="AF53" s="106">
        <f t="shared" si="13"/>
        <v>-33.576459211297333</v>
      </c>
      <c r="AG53" s="59"/>
    </row>
    <row r="54" spans="2:33" x14ac:dyDescent="0.35">
      <c r="B54">
        <v>190</v>
      </c>
      <c r="C54" s="17">
        <v>4</v>
      </c>
      <c r="D54" s="22" t="s">
        <v>58</v>
      </c>
      <c r="E54" s="90">
        <v>3049.19</v>
      </c>
      <c r="F54" s="90">
        <f>INDEX('Revised 2019 Lockdown'!H$5:H$257,MATCH(B54,'Revised 2019 Lockdown'!B$5:B$257,0))</f>
        <v>3049.19</v>
      </c>
      <c r="G54" s="90">
        <f t="shared" si="2"/>
        <v>0</v>
      </c>
      <c r="H54" s="5">
        <v>2361886.33</v>
      </c>
      <c r="I54" s="5">
        <f>INDEX('Revised 2019 Lockdown'!E$5:E$257,MATCH(B54,'Revised 2019 Lockdown'!B$5:B$257,0))</f>
        <v>2369996.16</v>
      </c>
      <c r="J54" s="5">
        <f t="shared" si="3"/>
        <v>8109.8300000000745</v>
      </c>
      <c r="K54" s="5">
        <v>436295.02999999997</v>
      </c>
      <c r="L54" s="5">
        <f>INDEX('Revised 2019 Lockdown'!F$5:F$257,MATCH(B54,'Revised 2019 Lockdown'!B$5:B$257,0))</f>
        <v>436295.02999999997</v>
      </c>
      <c r="M54" s="5">
        <f t="shared" si="4"/>
        <v>0</v>
      </c>
      <c r="N54" s="5">
        <v>1925591.3</v>
      </c>
      <c r="O54" s="60">
        <f>INDEX('Revised 2019 Lockdown'!G$5:G$257,MATCH(B54,'Revised 2019 Lockdown'!B$5:B$257,0))</f>
        <v>1933701.1300000001</v>
      </c>
      <c r="P54" s="5">
        <f t="shared" si="5"/>
        <v>8109.8300000000745</v>
      </c>
      <c r="Q54" s="58">
        <f t="shared" si="14"/>
        <v>634.1687890882497</v>
      </c>
      <c r="R54" s="6">
        <f t="shared" si="1"/>
        <v>634.1687890882497</v>
      </c>
      <c r="S54" s="5">
        <f t="shared" si="15"/>
        <v>1933701.1300000001</v>
      </c>
      <c r="T54" s="82">
        <v>0.46180555555555558</v>
      </c>
      <c r="U54" s="60">
        <f t="shared" si="6"/>
        <v>445952.51500590699</v>
      </c>
      <c r="V54" s="60">
        <f t="shared" si="16"/>
        <v>217961.17806328193</v>
      </c>
      <c r="W54" s="60">
        <f t="shared" si="7"/>
        <v>61783.004683110026</v>
      </c>
      <c r="X54" s="60">
        <f t="shared" si="8"/>
        <v>23412.016148795585</v>
      </c>
      <c r="Y54" s="60">
        <f t="shared" si="9"/>
        <v>749108.71390109451</v>
      </c>
      <c r="Z54" s="63">
        <f t="shared" si="10"/>
        <v>0.38739632628807247</v>
      </c>
      <c r="AA54" s="59">
        <f t="shared" si="11"/>
        <v>749132.19315035047</v>
      </c>
      <c r="AB54" s="60"/>
      <c r="AC54" s="59">
        <v>748769.51666024583</v>
      </c>
      <c r="AD54" s="106">
        <f t="shared" si="12"/>
        <v>362.67649010464083</v>
      </c>
      <c r="AE54" s="106">
        <v>371.14052430097945</v>
      </c>
      <c r="AF54" s="106">
        <f t="shared" si="13"/>
        <v>-8.4640341963386163</v>
      </c>
      <c r="AG54" s="59"/>
    </row>
    <row r="55" spans="2:33" x14ac:dyDescent="0.35">
      <c r="B55">
        <v>324</v>
      </c>
      <c r="C55" s="17">
        <v>4</v>
      </c>
      <c r="D55" s="22" t="s">
        <v>59</v>
      </c>
      <c r="E55" s="90">
        <v>7376.43</v>
      </c>
      <c r="F55" s="90">
        <f>INDEX('Revised 2019 Lockdown'!H$5:H$257,MATCH(B55,'Revised 2019 Lockdown'!B$5:B$257,0))</f>
        <v>7376.43</v>
      </c>
      <c r="G55" s="90">
        <f t="shared" si="2"/>
        <v>0</v>
      </c>
      <c r="H55" s="5">
        <v>4459243.79</v>
      </c>
      <c r="I55" s="5">
        <f>INDEX('Revised 2019 Lockdown'!E$5:E$257,MATCH(B55,'Revised 2019 Lockdown'!B$5:B$257,0))</f>
        <v>4457265.8099999996</v>
      </c>
      <c r="J55" s="5">
        <f t="shared" si="3"/>
        <v>-1977.980000000447</v>
      </c>
      <c r="K55" s="5">
        <v>744094.01</v>
      </c>
      <c r="L55" s="5">
        <f>INDEX('Revised 2019 Lockdown'!F$5:F$257,MATCH(B55,'Revised 2019 Lockdown'!B$5:B$257,0))</f>
        <v>744094.01</v>
      </c>
      <c r="M55" s="5">
        <f t="shared" si="4"/>
        <v>0</v>
      </c>
      <c r="N55" s="5">
        <v>3715149.7800000003</v>
      </c>
      <c r="O55" s="60">
        <f>INDEX('Revised 2019 Lockdown'!G$5:G$257,MATCH(B55,'Revised 2019 Lockdown'!B$5:B$257,0))</f>
        <v>3713171.8</v>
      </c>
      <c r="P55" s="5">
        <f t="shared" si="5"/>
        <v>-1977.980000000447</v>
      </c>
      <c r="Q55" s="58">
        <f t="shared" si="14"/>
        <v>503.38331686195079</v>
      </c>
      <c r="R55" s="6">
        <f t="shared" si="1"/>
        <v>503.38331686195079</v>
      </c>
      <c r="S55" s="5">
        <f t="shared" si="15"/>
        <v>3713171.8</v>
      </c>
      <c r="T55" s="82">
        <v>0.83333333333333326</v>
      </c>
      <c r="U55" s="60">
        <f t="shared" si="6"/>
        <v>856336.21306256903</v>
      </c>
      <c r="V55" s="60">
        <f t="shared" si="16"/>
        <v>527279.4980638579</v>
      </c>
      <c r="W55" s="60">
        <f t="shared" si="7"/>
        <v>214084.0532656422</v>
      </c>
      <c r="X55" s="60">
        <f t="shared" si="8"/>
        <v>44956.708560672123</v>
      </c>
      <c r="Y55" s="60">
        <f t="shared" si="9"/>
        <v>1642656.4729527412</v>
      </c>
      <c r="Z55" s="63">
        <f t="shared" si="10"/>
        <v>0.44238633745757233</v>
      </c>
      <c r="AA55" s="59">
        <f t="shared" si="11"/>
        <v>1642707.9585916807</v>
      </c>
      <c r="AB55" s="60"/>
      <c r="AC55" s="59">
        <v>1647321.0980851573</v>
      </c>
      <c r="AD55" s="106">
        <f t="shared" si="12"/>
        <v>-4613.1394934765995</v>
      </c>
      <c r="AE55" s="106">
        <v>-5196.1644554194063</v>
      </c>
      <c r="AF55" s="106">
        <f t="shared" si="13"/>
        <v>583.02496194280684</v>
      </c>
      <c r="AG55" s="59"/>
    </row>
    <row r="56" spans="2:33" x14ac:dyDescent="0.35">
      <c r="B56">
        <v>429</v>
      </c>
      <c r="C56" s="17">
        <v>4</v>
      </c>
      <c r="D56" s="22" t="s">
        <v>60</v>
      </c>
      <c r="E56" s="90">
        <v>4180.4643999999998</v>
      </c>
      <c r="F56" s="90">
        <f>INDEX('Revised 2019 Lockdown'!H$5:H$257,MATCH(B56,'Revised 2019 Lockdown'!B$5:B$257,0))</f>
        <v>4180.4643999999998</v>
      </c>
      <c r="G56" s="90">
        <f t="shared" si="2"/>
        <v>0</v>
      </c>
      <c r="H56" s="5">
        <v>1615598.05</v>
      </c>
      <c r="I56" s="5">
        <f>INDEX('Revised 2019 Lockdown'!E$5:E$257,MATCH(B56,'Revised 2019 Lockdown'!B$5:B$257,0))</f>
        <v>1615598.05</v>
      </c>
      <c r="J56" s="5">
        <f t="shared" si="3"/>
        <v>0</v>
      </c>
      <c r="K56" s="5">
        <v>324593.48</v>
      </c>
      <c r="L56" s="5">
        <f>INDEX('Revised 2019 Lockdown'!F$5:F$257,MATCH(B56,'Revised 2019 Lockdown'!B$5:B$257,0))</f>
        <v>324593.48</v>
      </c>
      <c r="M56" s="5">
        <f t="shared" si="4"/>
        <v>0</v>
      </c>
      <c r="N56" s="5">
        <v>1291004.57</v>
      </c>
      <c r="O56" s="60">
        <f>INDEX('Revised 2019 Lockdown'!G$5:G$257,MATCH(B56,'Revised 2019 Lockdown'!B$5:B$257,0))</f>
        <v>1291004.57</v>
      </c>
      <c r="P56" s="5">
        <f t="shared" si="5"/>
        <v>0</v>
      </c>
      <c r="Q56" s="58">
        <f t="shared" si="14"/>
        <v>308.81845806413281</v>
      </c>
      <c r="R56" s="6">
        <f t="shared" si="1"/>
        <v>308.81845806413281</v>
      </c>
      <c r="S56" s="5">
        <f t="shared" si="15"/>
        <v>1291004.57</v>
      </c>
      <c r="T56" s="82">
        <v>0.75</v>
      </c>
      <c r="U56" s="60">
        <f t="shared" si="6"/>
        <v>297733.04982017539</v>
      </c>
      <c r="V56" s="60">
        <f t="shared" si="16"/>
        <v>298826.55573303439</v>
      </c>
      <c r="W56" s="60">
        <f t="shared" si="7"/>
        <v>66989.936209539461</v>
      </c>
      <c r="X56" s="60">
        <f t="shared" si="8"/>
        <v>15630.657381375629</v>
      </c>
      <c r="Y56" s="60">
        <f t="shared" si="9"/>
        <v>679180.19914412487</v>
      </c>
      <c r="Z56" s="63">
        <f t="shared" si="10"/>
        <v>0.52608659560680315</v>
      </c>
      <c r="AA56" s="59">
        <f t="shared" si="11"/>
        <v>679201.48663002579</v>
      </c>
      <c r="AB56" s="60"/>
      <c r="AC56" s="59">
        <v>680725.19617511891</v>
      </c>
      <c r="AD56" s="106">
        <f t="shared" si="12"/>
        <v>-1523.7095450931229</v>
      </c>
      <c r="AE56" s="106">
        <v>-1517.6512851297157</v>
      </c>
      <c r="AF56" s="106">
        <f t="shared" si="13"/>
        <v>-6.0582599634071812</v>
      </c>
      <c r="AG56" s="59"/>
    </row>
    <row r="57" spans="2:33" x14ac:dyDescent="0.35">
      <c r="B57">
        <v>601</v>
      </c>
      <c r="C57" s="17">
        <v>4</v>
      </c>
      <c r="D57" s="22" t="s">
        <v>61</v>
      </c>
      <c r="E57" s="90">
        <v>5551.27</v>
      </c>
      <c r="F57" s="90">
        <f>INDEX('Revised 2019 Lockdown'!H$5:H$257,MATCH(B57,'Revised 2019 Lockdown'!B$5:B$257,0))</f>
        <v>5551.27</v>
      </c>
      <c r="G57" s="90">
        <f t="shared" si="2"/>
        <v>0</v>
      </c>
      <c r="H57" s="5">
        <v>3050653.27</v>
      </c>
      <c r="I57" s="5">
        <f>INDEX('Revised 2019 Lockdown'!E$5:E$257,MATCH(B57,'Revised 2019 Lockdown'!B$5:B$257,0))</f>
        <v>3050653.27</v>
      </c>
      <c r="J57" s="5">
        <f t="shared" si="3"/>
        <v>0</v>
      </c>
      <c r="K57" s="5">
        <v>210627.25999999998</v>
      </c>
      <c r="L57" s="5">
        <f>INDEX('Revised 2019 Lockdown'!F$5:F$257,MATCH(B57,'Revised 2019 Lockdown'!B$5:B$257,0))</f>
        <v>210627.25999999998</v>
      </c>
      <c r="M57" s="5">
        <f t="shared" si="4"/>
        <v>0</v>
      </c>
      <c r="N57" s="5">
        <v>2840026.0100000002</v>
      </c>
      <c r="O57" s="60">
        <f>INDEX('Revised 2019 Lockdown'!G$5:G$257,MATCH(B57,'Revised 2019 Lockdown'!B$5:B$257,0))</f>
        <v>2840026.0100000002</v>
      </c>
      <c r="P57" s="5">
        <f t="shared" si="5"/>
        <v>0</v>
      </c>
      <c r="Q57" s="58">
        <f t="shared" si="14"/>
        <v>511.59932952279388</v>
      </c>
      <c r="R57" s="6">
        <f t="shared" si="1"/>
        <v>511.59932952279388</v>
      </c>
      <c r="S57" s="5">
        <f t="shared" si="15"/>
        <v>2840026.0100000002</v>
      </c>
      <c r="T57" s="82">
        <v>0.875</v>
      </c>
      <c r="U57" s="60">
        <f t="shared" si="6"/>
        <v>654970.26515244937</v>
      </c>
      <c r="V57" s="60">
        <f t="shared" si="16"/>
        <v>396814.02239524445</v>
      </c>
      <c r="W57" s="60">
        <f t="shared" si="7"/>
        <v>171929.69460251796</v>
      </c>
      <c r="X57" s="60">
        <f t="shared" si="8"/>
        <v>34385.217952021099</v>
      </c>
      <c r="Y57" s="60">
        <f t="shared" si="9"/>
        <v>1258099.2001022329</v>
      </c>
      <c r="Z57" s="63">
        <f t="shared" si="10"/>
        <v>0.44298861900290581</v>
      </c>
      <c r="AA57" s="59">
        <f t="shared" si="11"/>
        <v>1258138.6325960215</v>
      </c>
      <c r="AB57" s="60"/>
      <c r="AC57" s="59">
        <v>1261227.0878120842</v>
      </c>
      <c r="AD57" s="106">
        <f t="shared" si="12"/>
        <v>-3088.4552160627209</v>
      </c>
      <c r="AE57" s="106">
        <v>-3074.7376969491597</v>
      </c>
      <c r="AF57" s="106">
        <f t="shared" si="13"/>
        <v>-13.717519113561139</v>
      </c>
      <c r="AG57" s="59"/>
    </row>
    <row r="58" spans="2:33" x14ac:dyDescent="0.35">
      <c r="B58">
        <v>760</v>
      </c>
      <c r="C58" s="17">
        <v>4</v>
      </c>
      <c r="D58" s="22" t="s">
        <v>62</v>
      </c>
      <c r="E58" s="90">
        <v>5012.8599999999997</v>
      </c>
      <c r="F58" s="90">
        <f>INDEX('Revised 2019 Lockdown'!H$5:H$257,MATCH(B58,'Revised 2019 Lockdown'!B$5:B$257,0))</f>
        <v>5012.8599999999997</v>
      </c>
      <c r="G58" s="90">
        <f t="shared" si="2"/>
        <v>0</v>
      </c>
      <c r="H58" s="5">
        <v>1509097.88</v>
      </c>
      <c r="I58" s="5">
        <f>INDEX('Revised 2019 Lockdown'!E$5:E$257,MATCH(B58,'Revised 2019 Lockdown'!B$5:B$257,0))</f>
        <v>1509097.88</v>
      </c>
      <c r="J58" s="5">
        <f t="shared" si="3"/>
        <v>0</v>
      </c>
      <c r="K58" s="5">
        <v>554553.47</v>
      </c>
      <c r="L58" s="5">
        <f>INDEX('Revised 2019 Lockdown'!F$5:F$257,MATCH(B58,'Revised 2019 Lockdown'!B$5:B$257,0))</f>
        <v>554553.47</v>
      </c>
      <c r="M58" s="5">
        <f t="shared" si="4"/>
        <v>0</v>
      </c>
      <c r="N58" s="5">
        <v>954544.40999999992</v>
      </c>
      <c r="O58" s="60">
        <f>INDEX('Revised 2019 Lockdown'!G$5:G$257,MATCH(B58,'Revised 2019 Lockdown'!B$5:B$257,0))</f>
        <v>954544.40999999992</v>
      </c>
      <c r="P58" s="5">
        <f t="shared" si="5"/>
        <v>0</v>
      </c>
      <c r="Q58" s="58">
        <f t="shared" si="14"/>
        <v>190.41912401303847</v>
      </c>
      <c r="R58" s="6">
        <f t="shared" si="1"/>
        <v>190.41912401303847</v>
      </c>
      <c r="S58" s="5">
        <f t="shared" si="15"/>
        <v>954544.40999999992</v>
      </c>
      <c r="T58" s="82">
        <v>1</v>
      </c>
      <c r="U58" s="60">
        <f t="shared" si="6"/>
        <v>220138.1970151352</v>
      </c>
      <c r="V58" s="60">
        <f t="shared" si="16"/>
        <v>358327.57914931618</v>
      </c>
      <c r="W58" s="60">
        <f t="shared" si="7"/>
        <v>66041.459104540554</v>
      </c>
      <c r="X58" s="60">
        <f t="shared" si="8"/>
        <v>11557.013022825586</v>
      </c>
      <c r="Y58" s="60">
        <f t="shared" si="9"/>
        <v>656064.24829181749</v>
      </c>
      <c r="Z58" s="63">
        <f t="shared" si="10"/>
        <v>0.68730615508168713</v>
      </c>
      <c r="AA58" s="59">
        <f t="shared" si="11"/>
        <v>656084.81125648168</v>
      </c>
      <c r="AB58" s="60"/>
      <c r="AC58" s="59">
        <v>657437.62874483806</v>
      </c>
      <c r="AD58" s="106">
        <f t="shared" si="12"/>
        <v>-1352.817488356377</v>
      </c>
      <c r="AE58" s="106">
        <v>-1348.0769778256072</v>
      </c>
      <c r="AF58" s="106">
        <f t="shared" si="13"/>
        <v>-4.740510530769825</v>
      </c>
      <c r="AG58" s="59"/>
    </row>
    <row r="59" spans="2:33" x14ac:dyDescent="0.35">
      <c r="B59">
        <v>878</v>
      </c>
      <c r="C59" s="17">
        <v>4</v>
      </c>
      <c r="D59" s="22" t="s">
        <v>345</v>
      </c>
      <c r="E59" s="90">
        <v>7393.5</v>
      </c>
      <c r="F59" s="90">
        <f>INDEX('Revised 2019 Lockdown'!H$5:H$257,MATCH(B59,'Revised 2019 Lockdown'!B$5:B$257,0))</f>
        <v>7393.5</v>
      </c>
      <c r="G59" s="90">
        <f t="shared" si="2"/>
        <v>0</v>
      </c>
      <c r="H59" s="5">
        <v>3017896.76</v>
      </c>
      <c r="I59" s="5">
        <f>INDEX('Revised 2019 Lockdown'!E$5:E$257,MATCH(B59,'Revised 2019 Lockdown'!B$5:B$257,0))</f>
        <v>3017896.76</v>
      </c>
      <c r="J59" s="5">
        <f t="shared" si="3"/>
        <v>0</v>
      </c>
      <c r="K59" s="5">
        <v>419431.65</v>
      </c>
      <c r="L59" s="5">
        <f>INDEX('Revised 2019 Lockdown'!F$5:F$257,MATCH(B59,'Revised 2019 Lockdown'!B$5:B$257,0))</f>
        <v>419431.65</v>
      </c>
      <c r="M59" s="5">
        <f t="shared" si="4"/>
        <v>0</v>
      </c>
      <c r="N59" s="5">
        <v>2598465.11</v>
      </c>
      <c r="O59" s="60">
        <f>INDEX('Revised 2019 Lockdown'!G$5:G$257,MATCH(B59,'Revised 2019 Lockdown'!B$5:B$257,0))</f>
        <v>2598465.11</v>
      </c>
      <c r="P59" s="5">
        <f t="shared" si="5"/>
        <v>0</v>
      </c>
      <c r="Q59" s="58">
        <f t="shared" si="14"/>
        <v>351.45264218570367</v>
      </c>
      <c r="R59" s="6">
        <f t="shared" si="1"/>
        <v>351.45264218570367</v>
      </c>
      <c r="S59" s="5">
        <f t="shared" si="15"/>
        <v>2598465.11</v>
      </c>
      <c r="T59" s="82">
        <v>0.9375</v>
      </c>
      <c r="U59" s="60">
        <f t="shared" si="6"/>
        <v>599261.19552901154</v>
      </c>
      <c r="V59" s="60">
        <f t="shared" si="16"/>
        <v>528499.69008519477</v>
      </c>
      <c r="W59" s="60">
        <f t="shared" si="7"/>
        <v>168542.21124253448</v>
      </c>
      <c r="X59" s="60">
        <f t="shared" si="8"/>
        <v>31460.55311939642</v>
      </c>
      <c r="Y59" s="60">
        <f t="shared" si="9"/>
        <v>1327763.6499761371</v>
      </c>
      <c r="Z59" s="63">
        <f t="shared" si="10"/>
        <v>0.51097998001448519</v>
      </c>
      <c r="AA59" s="59">
        <f t="shared" si="11"/>
        <v>1327805.2659567182</v>
      </c>
      <c r="AB59" s="60"/>
      <c r="AC59" s="59">
        <v>1330877.8252199094</v>
      </c>
      <c r="AD59" s="106">
        <f t="shared" si="12"/>
        <v>-3072.5592631911859</v>
      </c>
      <c r="AE59" s="106">
        <v>-3059.831041455036</v>
      </c>
      <c r="AF59" s="106">
        <f t="shared" si="13"/>
        <v>-12.728221736149862</v>
      </c>
      <c r="AG59" s="59"/>
    </row>
    <row r="60" spans="2:33" x14ac:dyDescent="0.35">
      <c r="B60">
        <v>8</v>
      </c>
      <c r="C60" s="17">
        <v>5</v>
      </c>
      <c r="D60" s="22" t="s">
        <v>64</v>
      </c>
      <c r="E60" s="90">
        <v>2075.63</v>
      </c>
      <c r="F60" s="90">
        <f>INDEX('Revised 2019 Lockdown'!H$5:H$257,MATCH(B60,'Revised 2019 Lockdown'!B$5:B$257,0))</f>
        <v>2075.63</v>
      </c>
      <c r="G60" s="90">
        <f t="shared" si="2"/>
        <v>0</v>
      </c>
      <c r="H60" s="5">
        <v>864369.87</v>
      </c>
      <c r="I60" s="5">
        <f>INDEX('Revised 2019 Lockdown'!E$5:E$257,MATCH(B60,'Revised 2019 Lockdown'!B$5:B$257,0))</f>
        <v>864369.87</v>
      </c>
      <c r="J60" s="5">
        <f t="shared" si="3"/>
        <v>0</v>
      </c>
      <c r="K60" s="5">
        <v>93052.72</v>
      </c>
      <c r="L60" s="5">
        <f>INDEX('Revised 2019 Lockdown'!F$5:F$257,MATCH(B60,'Revised 2019 Lockdown'!B$5:B$257,0))</f>
        <v>93052.72</v>
      </c>
      <c r="M60" s="5">
        <f t="shared" si="4"/>
        <v>0</v>
      </c>
      <c r="N60" s="5">
        <v>771317.15</v>
      </c>
      <c r="O60" s="60">
        <f>INDEX('Revised 2019 Lockdown'!G$5:G$257,MATCH(B60,'Revised 2019 Lockdown'!B$5:B$257,0))</f>
        <v>771317.15</v>
      </c>
      <c r="P60" s="5">
        <f t="shared" si="5"/>
        <v>0</v>
      </c>
      <c r="Q60" s="58">
        <f t="shared" si="14"/>
        <v>371.60628339347574</v>
      </c>
      <c r="R60" s="6">
        <f t="shared" si="1"/>
        <v>371.60628339347574</v>
      </c>
      <c r="S60" s="5">
        <f t="shared" si="15"/>
        <v>771317.15</v>
      </c>
      <c r="T60" s="82">
        <v>0.72685185185185186</v>
      </c>
      <c r="U60" s="60">
        <f t="shared" si="6"/>
        <v>177882.10265445124</v>
      </c>
      <c r="V60" s="60">
        <f t="shared" si="16"/>
        <v>148369.48829803651</v>
      </c>
      <c r="W60" s="60">
        <f t="shared" si="7"/>
        <v>38788.180717706724</v>
      </c>
      <c r="X60" s="60">
        <f t="shared" si="8"/>
        <v>9338.6145829283269</v>
      </c>
      <c r="Y60" s="60">
        <f t="shared" si="9"/>
        <v>374378.38625312282</v>
      </c>
      <c r="Z60" s="63">
        <f t="shared" si="10"/>
        <v>0.48537542080209523</v>
      </c>
      <c r="AA60" s="59">
        <f t="shared" si="11"/>
        <v>374390.12036231655</v>
      </c>
      <c r="AB60" s="60"/>
      <c r="AC60" s="59">
        <v>375257.8778534563</v>
      </c>
      <c r="AD60" s="106">
        <f t="shared" si="12"/>
        <v>-867.75749113975326</v>
      </c>
      <c r="AE60" s="106">
        <v>-864.15741868555779</v>
      </c>
      <c r="AF60" s="106">
        <f t="shared" si="13"/>
        <v>-3.6000724541954696</v>
      </c>
      <c r="AG60" s="59"/>
    </row>
    <row r="61" spans="2:33" x14ac:dyDescent="0.35">
      <c r="B61">
        <v>41</v>
      </c>
      <c r="C61" s="17">
        <v>5</v>
      </c>
      <c r="D61" s="22" t="s">
        <v>65</v>
      </c>
      <c r="E61" s="90">
        <v>993.22</v>
      </c>
      <c r="F61" s="90">
        <f>INDEX('Revised 2019 Lockdown'!H$5:H$257,MATCH(B61,'Revised 2019 Lockdown'!B$5:B$257,0))</f>
        <v>993.22</v>
      </c>
      <c r="G61" s="90">
        <f t="shared" si="2"/>
        <v>0</v>
      </c>
      <c r="H61" s="5">
        <v>598036.62</v>
      </c>
      <c r="I61" s="5">
        <f>INDEX('Revised 2019 Lockdown'!E$5:E$257,MATCH(B61,'Revised 2019 Lockdown'!B$5:B$257,0))</f>
        <v>598036.62</v>
      </c>
      <c r="J61" s="5">
        <f t="shared" si="3"/>
        <v>0</v>
      </c>
      <c r="K61" s="5">
        <v>171251.26000000004</v>
      </c>
      <c r="L61" s="5">
        <f>INDEX('Revised 2019 Lockdown'!F$5:F$257,MATCH(B61,'Revised 2019 Lockdown'!B$5:B$257,0))</f>
        <v>171251.26000000004</v>
      </c>
      <c r="M61" s="5">
        <f t="shared" si="4"/>
        <v>0</v>
      </c>
      <c r="N61" s="5">
        <v>426785.36</v>
      </c>
      <c r="O61" s="60">
        <f>INDEX('Revised 2019 Lockdown'!G$5:G$257,MATCH(B61,'Revised 2019 Lockdown'!B$5:B$257,0))</f>
        <v>426785.36</v>
      </c>
      <c r="P61" s="5">
        <f t="shared" si="5"/>
        <v>0</v>
      </c>
      <c r="Q61" s="58">
        <f t="shared" si="14"/>
        <v>429.69871730331647</v>
      </c>
      <c r="R61" s="6">
        <f t="shared" si="1"/>
        <v>429.69871730331647</v>
      </c>
      <c r="S61" s="5">
        <f t="shared" si="15"/>
        <v>426785.36</v>
      </c>
      <c r="T61" s="82">
        <v>0.2361111111111111</v>
      </c>
      <c r="U61" s="60">
        <f t="shared" si="6"/>
        <v>98425.760686038077</v>
      </c>
      <c r="V61" s="60">
        <f t="shared" si="16"/>
        <v>70997.019298900006</v>
      </c>
      <c r="W61" s="60">
        <f t="shared" si="7"/>
        <v>6971.8247152610293</v>
      </c>
      <c r="X61" s="60">
        <f t="shared" si="8"/>
        <v>5167.2440923637132</v>
      </c>
      <c r="Y61" s="60">
        <f t="shared" si="9"/>
        <v>181561.84879256284</v>
      </c>
      <c r="Z61" s="63">
        <f t="shared" si="10"/>
        <v>0.42541723734985393</v>
      </c>
      <c r="AA61" s="59">
        <f t="shared" si="11"/>
        <v>181567.53946979577</v>
      </c>
      <c r="AB61" s="60"/>
      <c r="AC61" s="59">
        <v>181990.42833262644</v>
      </c>
      <c r="AD61" s="106">
        <f t="shared" si="12"/>
        <v>-422.88886283067404</v>
      </c>
      <c r="AE61" s="106">
        <v>-421.12647301296238</v>
      </c>
      <c r="AF61" s="106">
        <f t="shared" si="13"/>
        <v>-1.7623898177116644</v>
      </c>
      <c r="AG61" s="59"/>
    </row>
    <row r="62" spans="2:33" x14ac:dyDescent="0.35">
      <c r="B62">
        <v>56</v>
      </c>
      <c r="C62" s="17">
        <v>5</v>
      </c>
      <c r="D62" s="22" t="s">
        <v>66</v>
      </c>
      <c r="E62" s="90">
        <v>2867.28</v>
      </c>
      <c r="F62" s="90">
        <f>INDEX('Revised 2019 Lockdown'!H$5:H$257,MATCH(B62,'Revised 2019 Lockdown'!B$5:B$257,0))</f>
        <v>2867.28</v>
      </c>
      <c r="G62" s="90">
        <f t="shared" si="2"/>
        <v>0</v>
      </c>
      <c r="H62" s="5">
        <v>572395.97</v>
      </c>
      <c r="I62" s="5">
        <f>INDEX('Revised 2019 Lockdown'!E$5:E$257,MATCH(B62,'Revised 2019 Lockdown'!B$5:B$257,0))</f>
        <v>572395.97</v>
      </c>
      <c r="J62" s="5">
        <f t="shared" si="3"/>
        <v>0</v>
      </c>
      <c r="K62" s="5">
        <v>2299.3900000000003</v>
      </c>
      <c r="L62" s="5">
        <f>INDEX('Revised 2019 Lockdown'!F$5:F$257,MATCH(B62,'Revised 2019 Lockdown'!B$5:B$257,0))</f>
        <v>2299.3900000000003</v>
      </c>
      <c r="M62" s="5">
        <f t="shared" si="4"/>
        <v>0</v>
      </c>
      <c r="N62" s="5">
        <v>570096.57999999996</v>
      </c>
      <c r="O62" s="60">
        <f>INDEX('Revised 2019 Lockdown'!G$5:G$257,MATCH(B62,'Revised 2019 Lockdown'!B$5:B$257,0))</f>
        <v>570096.57999999996</v>
      </c>
      <c r="P62" s="5">
        <f t="shared" si="5"/>
        <v>0</v>
      </c>
      <c r="Q62" s="58">
        <f t="shared" si="14"/>
        <v>198.82835997879522</v>
      </c>
      <c r="R62" s="6">
        <f t="shared" si="1"/>
        <v>198.82835997879522</v>
      </c>
      <c r="S62" s="5">
        <f t="shared" si="15"/>
        <v>570096.57999999996</v>
      </c>
      <c r="T62" s="82">
        <v>0.96759259259259256</v>
      </c>
      <c r="U62" s="60">
        <f t="shared" si="6"/>
        <v>131476.36917772613</v>
      </c>
      <c r="V62" s="60">
        <f t="shared" si="16"/>
        <v>204957.94838540305</v>
      </c>
      <c r="W62" s="60">
        <f t="shared" si="7"/>
        <v>38164.668275201053</v>
      </c>
      <c r="X62" s="60">
        <f t="shared" si="8"/>
        <v>6902.3646572172875</v>
      </c>
      <c r="Y62" s="60">
        <f t="shared" si="9"/>
        <v>381501.35049554752</v>
      </c>
      <c r="Z62" s="63">
        <f t="shared" si="10"/>
        <v>0.66918722875963854</v>
      </c>
      <c r="AA62" s="59">
        <f t="shared" si="11"/>
        <v>381513.30785918992</v>
      </c>
      <c r="AB62" s="60"/>
      <c r="AC62" s="59">
        <v>382305.80244564003</v>
      </c>
      <c r="AD62" s="106">
        <f t="shared" si="12"/>
        <v>-792.494586450106</v>
      </c>
      <c r="AE62" s="106">
        <v>-789.68356576416409</v>
      </c>
      <c r="AF62" s="106">
        <f t="shared" si="13"/>
        <v>-2.8110206859419122</v>
      </c>
      <c r="AG62" s="59"/>
    </row>
    <row r="63" spans="2:33" x14ac:dyDescent="0.35">
      <c r="B63">
        <v>67</v>
      </c>
      <c r="C63" s="17">
        <v>5</v>
      </c>
      <c r="D63" s="22" t="s">
        <v>67</v>
      </c>
      <c r="E63" s="90">
        <v>1347.1733959092533</v>
      </c>
      <c r="F63" s="90">
        <f>INDEX('Revised 2019 Lockdown'!H$5:H$257,MATCH(B63,'Revised 2019 Lockdown'!B$5:B$257,0))</f>
        <v>1347.1733959092533</v>
      </c>
      <c r="G63" s="90">
        <f t="shared" si="2"/>
        <v>0</v>
      </c>
      <c r="H63" s="5">
        <v>207963.68</v>
      </c>
      <c r="I63" s="5">
        <f>INDEX('Revised 2019 Lockdown'!E$5:E$257,MATCH(B63,'Revised 2019 Lockdown'!B$5:B$257,0))</f>
        <v>207963.68</v>
      </c>
      <c r="J63" s="5">
        <f t="shared" si="3"/>
        <v>0</v>
      </c>
      <c r="K63" s="5">
        <v>0</v>
      </c>
      <c r="L63" s="5">
        <f>INDEX('Revised 2019 Lockdown'!F$5:F$257,MATCH(B63,'Revised 2019 Lockdown'!B$5:B$257,0))</f>
        <v>0</v>
      </c>
      <c r="M63" s="5">
        <f t="shared" si="4"/>
        <v>0</v>
      </c>
      <c r="N63" s="5">
        <v>207963.68</v>
      </c>
      <c r="O63" s="60">
        <f>INDEX('Revised 2019 Lockdown'!G$5:G$257,MATCH(B63,'Revised 2019 Lockdown'!B$5:B$257,0))</f>
        <v>207963.68</v>
      </c>
      <c r="P63" s="5">
        <f t="shared" si="5"/>
        <v>0</v>
      </c>
      <c r="Q63" s="58">
        <f t="shared" si="14"/>
        <v>154.37038812634674</v>
      </c>
      <c r="R63" s="6">
        <f t="shared" si="1"/>
        <v>154.37038812634674</v>
      </c>
      <c r="S63" s="5">
        <f t="shared" si="15"/>
        <v>207963.68</v>
      </c>
      <c r="T63" s="82">
        <v>0.81712962962962965</v>
      </c>
      <c r="U63" s="60">
        <f t="shared" si="6"/>
        <v>47960.837736017471</v>
      </c>
      <c r="V63" s="60">
        <f t="shared" si="16"/>
        <v>96298.197366478635</v>
      </c>
      <c r="W63" s="60">
        <f t="shared" si="7"/>
        <v>11757.066472787614</v>
      </c>
      <c r="X63" s="60">
        <f t="shared" si="8"/>
        <v>2517.8911875192193</v>
      </c>
      <c r="Y63" s="60">
        <f t="shared" si="9"/>
        <v>158533.99276280293</v>
      </c>
      <c r="Z63" s="63">
        <f t="shared" si="10"/>
        <v>0.76231576957477831</v>
      </c>
      <c r="AA63" s="59">
        <f t="shared" si="11"/>
        <v>155972.76</v>
      </c>
      <c r="AB63" s="60"/>
      <c r="AC63" s="59">
        <v>155972.76</v>
      </c>
      <c r="AD63" s="106">
        <f t="shared" si="12"/>
        <v>0</v>
      </c>
      <c r="AE63" s="106">
        <v>0</v>
      </c>
      <c r="AF63" s="106">
        <f t="shared" si="13"/>
        <v>0</v>
      </c>
      <c r="AG63" s="59"/>
    </row>
    <row r="64" spans="2:33" x14ac:dyDescent="0.35">
      <c r="B64">
        <v>157</v>
      </c>
      <c r="C64" s="17">
        <v>5</v>
      </c>
      <c r="D64" s="22" t="s">
        <v>68</v>
      </c>
      <c r="E64" s="90">
        <v>391.46461159743643</v>
      </c>
      <c r="F64" s="90">
        <f>INDEX('Revised 2019 Lockdown'!H$5:H$257,MATCH(B64,'Revised 2019 Lockdown'!B$5:B$257,0))</f>
        <v>391.46461159743643</v>
      </c>
      <c r="G64" s="90">
        <f t="shared" si="2"/>
        <v>0</v>
      </c>
      <c r="H64" s="5">
        <v>154392.98000000001</v>
      </c>
      <c r="I64" s="5">
        <f>INDEX('Revised 2019 Lockdown'!E$5:E$257,MATCH(B64,'Revised 2019 Lockdown'!B$5:B$257,0))</f>
        <v>154392.98000000001</v>
      </c>
      <c r="J64" s="5">
        <f t="shared" si="3"/>
        <v>0</v>
      </c>
      <c r="K64" s="5">
        <v>250</v>
      </c>
      <c r="L64" s="5">
        <f>INDEX('Revised 2019 Lockdown'!F$5:F$257,MATCH(B64,'Revised 2019 Lockdown'!B$5:B$257,0))</f>
        <v>250</v>
      </c>
      <c r="M64" s="5">
        <f t="shared" si="4"/>
        <v>0</v>
      </c>
      <c r="N64" s="5">
        <v>154142.98000000001</v>
      </c>
      <c r="O64" s="60">
        <f>INDEX('Revised 2019 Lockdown'!G$5:G$257,MATCH(B64,'Revised 2019 Lockdown'!B$5:B$257,0))</f>
        <v>154142.98000000001</v>
      </c>
      <c r="P64" s="5">
        <f t="shared" si="5"/>
        <v>0</v>
      </c>
      <c r="Q64" s="58">
        <f t="shared" si="14"/>
        <v>393.75967950460182</v>
      </c>
      <c r="R64" s="6">
        <f t="shared" si="1"/>
        <v>393.75967950460182</v>
      </c>
      <c r="S64" s="5">
        <f t="shared" si="15"/>
        <v>154142.98000000001</v>
      </c>
      <c r="T64" s="82">
        <v>0.53240740740740744</v>
      </c>
      <c r="U64" s="60">
        <f t="shared" si="6"/>
        <v>35548.642204860902</v>
      </c>
      <c r="V64" s="60">
        <f t="shared" si="16"/>
        <v>27982.542220675772</v>
      </c>
      <c r="W64" s="60">
        <f t="shared" si="7"/>
        <v>5677.9081299430609</v>
      </c>
      <c r="X64" s="60">
        <f t="shared" si="8"/>
        <v>1866.2645850465394</v>
      </c>
      <c r="Y64" s="60">
        <f t="shared" si="9"/>
        <v>71075.357140526263</v>
      </c>
      <c r="Z64" s="63">
        <f t="shared" si="10"/>
        <v>0.46110018854265217</v>
      </c>
      <c r="AA64" s="59">
        <f t="shared" si="11"/>
        <v>71077.584849262392</v>
      </c>
      <c r="AB64" s="60"/>
      <c r="AC64" s="59">
        <v>71242.703663269014</v>
      </c>
      <c r="AD64" s="106">
        <f t="shared" si="12"/>
        <v>-165.11881400662242</v>
      </c>
      <c r="AE64" s="106">
        <v>-164.41874583382742</v>
      </c>
      <c r="AF64" s="106">
        <f t="shared" si="13"/>
        <v>-0.70006817279499955</v>
      </c>
      <c r="AG64" s="59"/>
    </row>
    <row r="65" spans="2:33" x14ac:dyDescent="0.35">
      <c r="B65">
        <v>214</v>
      </c>
      <c r="C65" s="17">
        <v>5</v>
      </c>
      <c r="D65" s="22" t="s">
        <v>69</v>
      </c>
      <c r="E65" s="90">
        <v>2751.6000000000004</v>
      </c>
      <c r="F65" s="90">
        <f>INDEX('Revised 2019 Lockdown'!H$5:H$257,MATCH(B65,'Revised 2019 Lockdown'!B$5:B$257,0))</f>
        <v>2751.6000000000004</v>
      </c>
      <c r="G65" s="90">
        <f t="shared" si="2"/>
        <v>0</v>
      </c>
      <c r="H65" s="5">
        <v>1755275.05</v>
      </c>
      <c r="I65" s="5">
        <f>INDEX('Revised 2019 Lockdown'!E$5:E$257,MATCH(B65,'Revised 2019 Lockdown'!B$5:B$257,0))</f>
        <v>1755275.05</v>
      </c>
      <c r="J65" s="5">
        <f t="shared" si="3"/>
        <v>0</v>
      </c>
      <c r="K65" s="5">
        <v>255085.94</v>
      </c>
      <c r="L65" s="5">
        <f>INDEX('Revised 2019 Lockdown'!F$5:F$257,MATCH(B65,'Revised 2019 Lockdown'!B$5:B$257,0))</f>
        <v>255085.94</v>
      </c>
      <c r="M65" s="5">
        <f t="shared" si="4"/>
        <v>0</v>
      </c>
      <c r="N65" s="5">
        <v>1500189.11</v>
      </c>
      <c r="O65" s="60">
        <f>INDEX('Revised 2019 Lockdown'!G$5:G$257,MATCH(B65,'Revised 2019 Lockdown'!B$5:B$257,0))</f>
        <v>1500189.11</v>
      </c>
      <c r="P65" s="5">
        <f t="shared" si="5"/>
        <v>0</v>
      </c>
      <c r="Q65" s="58">
        <f t="shared" si="14"/>
        <v>545.2061019043465</v>
      </c>
      <c r="R65" s="6">
        <f t="shared" si="1"/>
        <v>537.91823507791537</v>
      </c>
      <c r="S65" s="5">
        <f t="shared" si="15"/>
        <v>1480135.815640392</v>
      </c>
      <c r="T65" s="82">
        <v>0.6689814814814814</v>
      </c>
      <c r="U65" s="60">
        <f t="shared" si="6"/>
        <v>341350.72855604748</v>
      </c>
      <c r="V65" s="60">
        <f t="shared" si="16"/>
        <v>196688.94937964727</v>
      </c>
      <c r="W65" s="60">
        <f t="shared" si="7"/>
        <v>68507.194828262291</v>
      </c>
      <c r="X65" s="60">
        <f t="shared" si="8"/>
        <v>17920.537502185551</v>
      </c>
      <c r="Y65" s="60">
        <f t="shared" si="9"/>
        <v>624467.41026614269</v>
      </c>
      <c r="Z65" s="63">
        <f t="shared" si="10"/>
        <v>0.42189872285197161</v>
      </c>
      <c r="AA65" s="59">
        <f t="shared" si="11"/>
        <v>624486.98289386125</v>
      </c>
      <c r="AB65" s="60"/>
      <c r="AC65" s="59">
        <v>627100.36488729075</v>
      </c>
      <c r="AD65" s="106">
        <f t="shared" si="12"/>
        <v>-2613.3819934295025</v>
      </c>
      <c r="AE65" s="106">
        <v>-2606.5900997127173</v>
      </c>
      <c r="AF65" s="106">
        <f t="shared" si="13"/>
        <v>-6.7918937167851254</v>
      </c>
      <c r="AG65" s="59"/>
    </row>
    <row r="66" spans="2:33" x14ac:dyDescent="0.35">
      <c r="B66">
        <v>223</v>
      </c>
      <c r="C66" s="17">
        <v>5</v>
      </c>
      <c r="D66" s="22" t="s">
        <v>70</v>
      </c>
      <c r="E66" s="90">
        <v>274</v>
      </c>
      <c r="F66" s="90">
        <f>INDEX('Revised 2019 Lockdown'!H$5:H$257,MATCH(B66,'Revised 2019 Lockdown'!B$5:B$257,0))</f>
        <v>273.99</v>
      </c>
      <c r="G66" s="90">
        <f t="shared" si="2"/>
        <v>-9.9999999999909051E-3</v>
      </c>
      <c r="H66" s="5">
        <v>235853.73</v>
      </c>
      <c r="I66" s="5">
        <f>INDEX('Revised 2019 Lockdown'!E$5:E$257,MATCH(B66,'Revised 2019 Lockdown'!B$5:B$257,0))</f>
        <v>230639.28</v>
      </c>
      <c r="J66" s="5">
        <f t="shared" si="3"/>
        <v>-5214.4500000000116</v>
      </c>
      <c r="K66" s="5">
        <v>800.41</v>
      </c>
      <c r="L66" s="5">
        <f>INDEX('Revised 2019 Lockdown'!F$5:F$257,MATCH(B66,'Revised 2019 Lockdown'!B$5:B$257,0))</f>
        <v>800.41</v>
      </c>
      <c r="M66" s="5">
        <f t="shared" si="4"/>
        <v>0</v>
      </c>
      <c r="N66" s="5">
        <v>235053.32</v>
      </c>
      <c r="O66" s="60">
        <f>INDEX('Revised 2019 Lockdown'!G$5:G$257,MATCH(B66,'Revised 2019 Lockdown'!B$5:B$257,0))</f>
        <v>229838.87</v>
      </c>
      <c r="P66" s="5">
        <f t="shared" si="5"/>
        <v>-5214.4500000000116</v>
      </c>
      <c r="Q66" s="58">
        <f t="shared" si="14"/>
        <v>838.85860797839337</v>
      </c>
      <c r="R66" s="6">
        <f t="shared" si="1"/>
        <v>537.91823507791537</v>
      </c>
      <c r="S66" s="5">
        <f t="shared" si="15"/>
        <v>147384.21722899802</v>
      </c>
      <c r="T66" s="82">
        <v>0.4513888888888889</v>
      </c>
      <c r="U66" s="60">
        <f t="shared" si="6"/>
        <v>33989.92808441323</v>
      </c>
      <c r="V66" s="60">
        <f t="shared" si="16"/>
        <v>19585.261389929332</v>
      </c>
      <c r="W66" s="60">
        <f t="shared" si="7"/>
        <v>4602.8027614309576</v>
      </c>
      <c r="X66" s="60">
        <f t="shared" si="8"/>
        <v>1784.4338095013152</v>
      </c>
      <c r="Y66" s="60">
        <f t="shared" si="9"/>
        <v>59962.426045274835</v>
      </c>
      <c r="Z66" s="63">
        <f t="shared" si="10"/>
        <v>0.40684428205842621</v>
      </c>
      <c r="AA66" s="59">
        <f t="shared" si="11"/>
        <v>59964.305442378332</v>
      </c>
      <c r="AB66" s="60"/>
      <c r="AC66" s="59">
        <v>60214.557590464501</v>
      </c>
      <c r="AD66" s="106">
        <f t="shared" si="12"/>
        <v>-250.25214808616875</v>
      </c>
      <c r="AE66" s="106">
        <v>-249.61089085543063</v>
      </c>
      <c r="AF66" s="106">
        <f t="shared" si="13"/>
        <v>-0.64125723073811969</v>
      </c>
      <c r="AG66" s="59"/>
    </row>
    <row r="67" spans="2:33" x14ac:dyDescent="0.35">
      <c r="B67">
        <v>224</v>
      </c>
      <c r="C67" s="17">
        <v>5</v>
      </c>
      <c r="D67" s="22" t="s">
        <v>71</v>
      </c>
      <c r="E67" s="90">
        <v>196.82810451351673</v>
      </c>
      <c r="F67" s="90">
        <f>INDEX('Revised 2019 Lockdown'!H$5:H$257,MATCH(B67,'Revised 2019 Lockdown'!B$5:B$257,0))</f>
        <v>196.82810451351673</v>
      </c>
      <c r="G67" s="90">
        <f t="shared" si="2"/>
        <v>0</v>
      </c>
      <c r="H67" s="5">
        <v>77631.63</v>
      </c>
      <c r="I67" s="5">
        <f>INDEX('Revised 2019 Lockdown'!E$5:E$257,MATCH(B67,'Revised 2019 Lockdown'!B$5:B$257,0))</f>
        <v>77631.63</v>
      </c>
      <c r="J67" s="5">
        <f t="shared" si="3"/>
        <v>0</v>
      </c>
      <c r="K67" s="5">
        <v>210</v>
      </c>
      <c r="L67" s="5">
        <f>INDEX('Revised 2019 Lockdown'!F$5:F$257,MATCH(B67,'Revised 2019 Lockdown'!B$5:B$257,0))</f>
        <v>210</v>
      </c>
      <c r="M67" s="5">
        <f t="shared" si="4"/>
        <v>0</v>
      </c>
      <c r="N67" s="5">
        <v>77421.63</v>
      </c>
      <c r="O67" s="60">
        <f>INDEX('Revised 2019 Lockdown'!G$5:G$257,MATCH(B67,'Revised 2019 Lockdown'!B$5:B$257,0))</f>
        <v>77421.63</v>
      </c>
      <c r="P67" s="5">
        <f t="shared" si="5"/>
        <v>0</v>
      </c>
      <c r="Q67" s="58">
        <f t="shared" si="14"/>
        <v>393.34641864969666</v>
      </c>
      <c r="R67" s="6">
        <f t="shared" si="1"/>
        <v>393.34641864969666</v>
      </c>
      <c r="S67" s="5">
        <f t="shared" si="15"/>
        <v>77421.63</v>
      </c>
      <c r="T67" s="82">
        <v>0.4907407407407407</v>
      </c>
      <c r="U67" s="60">
        <f t="shared" si="6"/>
        <v>17855.070816634823</v>
      </c>
      <c r="V67" s="60">
        <f t="shared" si="16"/>
        <v>14069.600626962861</v>
      </c>
      <c r="W67" s="60">
        <f t="shared" si="7"/>
        <v>2628.663203560126</v>
      </c>
      <c r="X67" s="60">
        <f t="shared" si="8"/>
        <v>937.37156363252302</v>
      </c>
      <c r="Y67" s="60">
        <f t="shared" si="9"/>
        <v>35490.706210790333</v>
      </c>
      <c r="Z67" s="63">
        <f t="shared" si="10"/>
        <v>0.45840815041985467</v>
      </c>
      <c r="AA67" s="59">
        <f t="shared" si="11"/>
        <v>35491.818592907817</v>
      </c>
      <c r="AB67" s="60"/>
      <c r="AC67" s="59">
        <v>35574.110817579407</v>
      </c>
      <c r="AD67" s="106">
        <f t="shared" si="12"/>
        <v>-82.292224671589793</v>
      </c>
      <c r="AE67" s="106">
        <v>-81.950904663804977</v>
      </c>
      <c r="AF67" s="106">
        <f t="shared" si="13"/>
        <v>-0.34132000778481597</v>
      </c>
      <c r="AG67" s="59"/>
    </row>
    <row r="68" spans="2:33" x14ac:dyDescent="0.35">
      <c r="B68">
        <v>233</v>
      </c>
      <c r="C68" s="17">
        <v>5</v>
      </c>
      <c r="D68" s="22" t="s">
        <v>72</v>
      </c>
      <c r="E68" s="90">
        <v>2130.7600000000002</v>
      </c>
      <c r="F68" s="90">
        <f>INDEX('Revised 2019 Lockdown'!H$5:H$257,MATCH(B68,'Revised 2019 Lockdown'!B$5:B$257,0))</f>
        <v>2130.7600000000002</v>
      </c>
      <c r="G68" s="90">
        <f t="shared" si="2"/>
        <v>0</v>
      </c>
      <c r="H68" s="5">
        <v>703293.56</v>
      </c>
      <c r="I68" s="5">
        <f>INDEX('Revised 2019 Lockdown'!E$5:E$257,MATCH(B68,'Revised 2019 Lockdown'!B$5:B$257,0))</f>
        <v>703293.56</v>
      </c>
      <c r="J68" s="5">
        <f t="shared" si="3"/>
        <v>0</v>
      </c>
      <c r="K68" s="5">
        <v>171134.77</v>
      </c>
      <c r="L68" s="5">
        <f>INDEX('Revised 2019 Lockdown'!F$5:F$257,MATCH(B68,'Revised 2019 Lockdown'!B$5:B$257,0))</f>
        <v>171134.77</v>
      </c>
      <c r="M68" s="5">
        <f t="shared" si="4"/>
        <v>0</v>
      </c>
      <c r="N68" s="5">
        <v>532158.79</v>
      </c>
      <c r="O68" s="60">
        <f>INDEX('Revised 2019 Lockdown'!G$5:G$257,MATCH(B68,'Revised 2019 Lockdown'!B$5:B$257,0))</f>
        <v>532158.79</v>
      </c>
      <c r="P68" s="5">
        <f t="shared" si="5"/>
        <v>0</v>
      </c>
      <c r="Q68" s="58">
        <f t="shared" si="14"/>
        <v>249.7506945878466</v>
      </c>
      <c r="R68" s="6">
        <f t="shared" si="1"/>
        <v>249.7506945878466</v>
      </c>
      <c r="S68" s="5">
        <f t="shared" si="15"/>
        <v>532158.79</v>
      </c>
      <c r="T68" s="82">
        <v>0.69444444444444442</v>
      </c>
      <c r="U68" s="60">
        <f t="shared" si="6"/>
        <v>122727.10973851492</v>
      </c>
      <c r="V68" s="60">
        <f t="shared" si="16"/>
        <v>152310.27248879825</v>
      </c>
      <c r="W68" s="60">
        <f t="shared" si="7"/>
        <v>25568.147862190606</v>
      </c>
      <c r="X68" s="60">
        <f t="shared" si="8"/>
        <v>6443.0381675391154</v>
      </c>
      <c r="Y68" s="60">
        <f t="shared" si="9"/>
        <v>307048.56825704291</v>
      </c>
      <c r="Z68" s="63">
        <f t="shared" si="10"/>
        <v>0.57698674536042693</v>
      </c>
      <c r="AA68" s="59">
        <f t="shared" si="11"/>
        <v>307058.19205360813</v>
      </c>
      <c r="AB68" s="60"/>
      <c r="AC68" s="59">
        <v>307717.80876115826</v>
      </c>
      <c r="AD68" s="106">
        <f t="shared" si="12"/>
        <v>-659.61670755012892</v>
      </c>
      <c r="AE68" s="106">
        <v>-657.1519852411584</v>
      </c>
      <c r="AF68" s="106">
        <f t="shared" si="13"/>
        <v>-2.4647223089705221</v>
      </c>
      <c r="AG68" s="59"/>
    </row>
    <row r="69" spans="2:33" x14ac:dyDescent="0.35">
      <c r="B69">
        <v>272</v>
      </c>
      <c r="C69" s="17">
        <v>5</v>
      </c>
      <c r="D69" s="22" t="s">
        <v>73</v>
      </c>
      <c r="E69" s="90">
        <v>311.79011619626056</v>
      </c>
      <c r="F69" s="90">
        <f>INDEX('Revised 2019 Lockdown'!H$5:H$257,MATCH(B69,'Revised 2019 Lockdown'!B$5:B$257,0))</f>
        <v>311.79011619626056</v>
      </c>
      <c r="G69" s="90">
        <f t="shared" si="2"/>
        <v>0</v>
      </c>
      <c r="H69" s="5">
        <v>96048.45</v>
      </c>
      <c r="I69" s="5">
        <f>INDEX('Revised 2019 Lockdown'!E$5:E$257,MATCH(B69,'Revised 2019 Lockdown'!B$5:B$257,0))</f>
        <v>96048.45</v>
      </c>
      <c r="J69" s="5">
        <f t="shared" si="3"/>
        <v>0</v>
      </c>
      <c r="K69" s="5">
        <v>0</v>
      </c>
      <c r="L69" s="5">
        <f>INDEX('Revised 2019 Lockdown'!F$5:F$257,MATCH(B69,'Revised 2019 Lockdown'!B$5:B$257,0))</f>
        <v>0</v>
      </c>
      <c r="M69" s="5">
        <f t="shared" si="4"/>
        <v>0</v>
      </c>
      <c r="N69" s="5">
        <v>96048.45</v>
      </c>
      <c r="O69" s="60">
        <f>INDEX('Revised 2019 Lockdown'!G$5:G$257,MATCH(B69,'Revised 2019 Lockdown'!B$5:B$257,0))</f>
        <v>96048.45</v>
      </c>
      <c r="P69" s="5">
        <f t="shared" si="5"/>
        <v>0</v>
      </c>
      <c r="Q69" s="58">
        <f t="shared" si="14"/>
        <v>308.05482602130013</v>
      </c>
      <c r="R69" s="6">
        <f t="shared" si="1"/>
        <v>308.05482602130013</v>
      </c>
      <c r="S69" s="5">
        <f t="shared" si="15"/>
        <v>96048.45</v>
      </c>
      <c r="T69" s="82">
        <v>0.43055555555555558</v>
      </c>
      <c r="U69" s="60">
        <f t="shared" si="6"/>
        <v>22150.81078218075</v>
      </c>
      <c r="V69" s="60">
        <f t="shared" si="16"/>
        <v>22287.276632359582</v>
      </c>
      <c r="W69" s="60">
        <f t="shared" si="7"/>
        <v>2861.1463926983465</v>
      </c>
      <c r="X69" s="60">
        <f t="shared" si="8"/>
        <v>1162.8931832225721</v>
      </c>
      <c r="Y69" s="60">
        <f t="shared" si="9"/>
        <v>48462.126990461256</v>
      </c>
      <c r="Z69" s="63">
        <f t="shared" si="10"/>
        <v>0.50455917810710382</v>
      </c>
      <c r="AA69" s="59">
        <f t="shared" si="11"/>
        <v>48463.645934691871</v>
      </c>
      <c r="AB69" s="60"/>
      <c r="AC69" s="59">
        <v>48570.788495177221</v>
      </c>
      <c r="AD69" s="106">
        <f t="shared" si="12"/>
        <v>-107.14256048535026</v>
      </c>
      <c r="AE69" s="106">
        <v>-106.7254786943522</v>
      </c>
      <c r="AF69" s="106">
        <f t="shared" si="13"/>
        <v>-0.4170817909980542</v>
      </c>
      <c r="AG69" s="59"/>
    </row>
    <row r="70" spans="2:33" x14ac:dyDescent="0.35">
      <c r="B70">
        <v>427</v>
      </c>
      <c r="C70" s="17">
        <v>5</v>
      </c>
      <c r="D70" s="22" t="s">
        <v>74</v>
      </c>
      <c r="E70" s="90">
        <v>437.80999999999989</v>
      </c>
      <c r="F70" s="90">
        <f>INDEX('Revised 2019 Lockdown'!H$5:H$257,MATCH(B70,'Revised 2019 Lockdown'!B$5:B$257,0))</f>
        <v>437.80999999999989</v>
      </c>
      <c r="G70" s="90">
        <f t="shared" si="2"/>
        <v>0</v>
      </c>
      <c r="H70" s="5">
        <v>207168.59</v>
      </c>
      <c r="I70" s="5">
        <f>INDEX('Revised 2019 Lockdown'!E$5:E$257,MATCH(B70,'Revised 2019 Lockdown'!B$5:B$257,0))</f>
        <v>207168.59</v>
      </c>
      <c r="J70" s="5">
        <f t="shared" si="3"/>
        <v>0</v>
      </c>
      <c r="K70" s="5">
        <v>41727.25</v>
      </c>
      <c r="L70" s="5">
        <f>INDEX('Revised 2019 Lockdown'!F$5:F$257,MATCH(B70,'Revised 2019 Lockdown'!B$5:B$257,0))</f>
        <v>41727.25</v>
      </c>
      <c r="M70" s="5">
        <f t="shared" si="4"/>
        <v>0</v>
      </c>
      <c r="N70" s="5">
        <v>165441.34</v>
      </c>
      <c r="O70" s="60">
        <f>INDEX('Revised 2019 Lockdown'!G$5:G$257,MATCH(B70,'Revised 2019 Lockdown'!B$5:B$257,0))</f>
        <v>165441.34</v>
      </c>
      <c r="P70" s="5">
        <f t="shared" si="5"/>
        <v>0</v>
      </c>
      <c r="Q70" s="58">
        <f t="shared" si="14"/>
        <v>377.88387656746085</v>
      </c>
      <c r="R70" s="6">
        <f t="shared" si="1"/>
        <v>377.88387656746085</v>
      </c>
      <c r="S70" s="5">
        <f t="shared" si="15"/>
        <v>165441.34</v>
      </c>
      <c r="T70" s="82">
        <v>0.79629629629629628</v>
      </c>
      <c r="U70" s="60">
        <f t="shared" si="6"/>
        <v>38154.283779596975</v>
      </c>
      <c r="V70" s="60">
        <f t="shared" si="16"/>
        <v>31295.387748184094</v>
      </c>
      <c r="W70" s="60">
        <f t="shared" si="7"/>
        <v>9114.6344584592789</v>
      </c>
      <c r="X70" s="60">
        <f t="shared" si="8"/>
        <v>2003.0578995205842</v>
      </c>
      <c r="Y70" s="60">
        <f t="shared" si="9"/>
        <v>80567.363885760933</v>
      </c>
      <c r="Z70" s="63">
        <f t="shared" si="10"/>
        <v>0.48698447368572412</v>
      </c>
      <c r="AA70" s="59">
        <f t="shared" si="11"/>
        <v>80569.889101638779</v>
      </c>
      <c r="AB70" s="60"/>
      <c r="AC70" s="59">
        <v>80757.68908940292</v>
      </c>
      <c r="AD70" s="106">
        <f t="shared" si="12"/>
        <v>-187.79998776414141</v>
      </c>
      <c r="AE70" s="106">
        <v>-187.01520192291355</v>
      </c>
      <c r="AF70" s="106">
        <f t="shared" si="13"/>
        <v>-0.78478584122785833</v>
      </c>
      <c r="AG70" s="59"/>
    </row>
    <row r="71" spans="2:33" x14ac:dyDescent="0.35">
      <c r="B71">
        <v>524</v>
      </c>
      <c r="C71" s="17">
        <v>5</v>
      </c>
      <c r="D71" s="22" t="s">
        <v>75</v>
      </c>
      <c r="E71" s="90">
        <v>482.90262956638958</v>
      </c>
      <c r="F71" s="90">
        <f>INDEX('Revised 2019 Lockdown'!H$5:H$257,MATCH(B71,'Revised 2019 Lockdown'!B$5:B$257,0))</f>
        <v>482.90262956638958</v>
      </c>
      <c r="G71" s="90">
        <f t="shared" si="2"/>
        <v>0</v>
      </c>
      <c r="H71" s="5">
        <v>318123.49</v>
      </c>
      <c r="I71" s="5">
        <f>INDEX('Revised 2019 Lockdown'!E$5:E$257,MATCH(B71,'Revised 2019 Lockdown'!B$5:B$257,0))</f>
        <v>318123.49</v>
      </c>
      <c r="J71" s="5">
        <f t="shared" si="3"/>
        <v>0</v>
      </c>
      <c r="K71" s="5">
        <v>89207.8</v>
      </c>
      <c r="L71" s="5">
        <f>INDEX('Revised 2019 Lockdown'!F$5:F$257,MATCH(B71,'Revised 2019 Lockdown'!B$5:B$257,0))</f>
        <v>89207.8</v>
      </c>
      <c r="M71" s="5">
        <f t="shared" si="4"/>
        <v>0</v>
      </c>
      <c r="N71" s="5">
        <v>228915.69</v>
      </c>
      <c r="O71" s="60">
        <f>INDEX('Revised 2019 Lockdown'!G$5:G$257,MATCH(B71,'Revised 2019 Lockdown'!B$5:B$257,0))</f>
        <v>228915.69</v>
      </c>
      <c r="P71" s="5">
        <f t="shared" si="5"/>
        <v>0</v>
      </c>
      <c r="Q71" s="58">
        <f t="shared" si="14"/>
        <v>474.04109231202398</v>
      </c>
      <c r="R71" s="6">
        <f t="shared" si="1"/>
        <v>474.04109231202398</v>
      </c>
      <c r="S71" s="5">
        <f t="shared" si="15"/>
        <v>228915.69</v>
      </c>
      <c r="T71" s="82">
        <v>0.79166666666666674</v>
      </c>
      <c r="U71" s="60">
        <f t="shared" si="6"/>
        <v>52792.815857646288</v>
      </c>
      <c r="V71" s="60">
        <f t="shared" si="16"/>
        <v>34518.683988254888</v>
      </c>
      <c r="W71" s="60">
        <f t="shared" si="7"/>
        <v>12538.293766190995</v>
      </c>
      <c r="X71" s="60">
        <f t="shared" si="8"/>
        <v>2771.5647200313128</v>
      </c>
      <c r="Y71" s="60">
        <f t="shared" si="9"/>
        <v>102621.35833212349</v>
      </c>
      <c r="Z71" s="63">
        <f t="shared" si="10"/>
        <v>0.44829324862845132</v>
      </c>
      <c r="AA71" s="59">
        <f t="shared" si="11"/>
        <v>102624.57478443082</v>
      </c>
      <c r="AB71" s="60"/>
      <c r="AC71" s="59">
        <v>102872.87444830549</v>
      </c>
      <c r="AD71" s="106">
        <f t="shared" si="12"/>
        <v>-248.29966387466993</v>
      </c>
      <c r="AE71" s="106">
        <v>-247.19829113315791</v>
      </c>
      <c r="AF71" s="106">
        <f t="shared" si="13"/>
        <v>-1.1013727415120229</v>
      </c>
      <c r="AG71" s="59"/>
    </row>
    <row r="72" spans="2:33" x14ac:dyDescent="0.35">
      <c r="B72">
        <v>565</v>
      </c>
      <c r="C72" s="17">
        <v>5</v>
      </c>
      <c r="D72" s="22" t="s">
        <v>76</v>
      </c>
      <c r="E72" s="90">
        <v>494.21083681672025</v>
      </c>
      <c r="F72" s="90">
        <f>INDEX('Revised 2019 Lockdown'!H$5:H$257,MATCH(B72,'Revised 2019 Lockdown'!B$5:B$257,0))</f>
        <v>483.48174802310336</v>
      </c>
      <c r="G72" s="90">
        <f t="shared" si="2"/>
        <v>-10.729088793616882</v>
      </c>
      <c r="H72" s="5">
        <v>274241.52</v>
      </c>
      <c r="I72" s="5">
        <f>INDEX('Revised 2019 Lockdown'!E$5:E$257,MATCH(B72,'Revised 2019 Lockdown'!B$5:B$257,0))</f>
        <v>273760.90999999997</v>
      </c>
      <c r="J72" s="5">
        <f t="shared" si="3"/>
        <v>-480.61000000004424</v>
      </c>
      <c r="K72" s="5">
        <v>88951.02</v>
      </c>
      <c r="L72" s="5">
        <f>INDEX('Revised 2019 Lockdown'!F$5:F$257,MATCH(B72,'Revised 2019 Lockdown'!B$5:B$257,0))</f>
        <v>88951.02</v>
      </c>
      <c r="M72" s="5">
        <f t="shared" si="4"/>
        <v>0</v>
      </c>
      <c r="N72" s="5">
        <v>185290.5</v>
      </c>
      <c r="O72" s="60">
        <f>INDEX('Revised 2019 Lockdown'!G$5:G$257,MATCH(B72,'Revised 2019 Lockdown'!B$5:B$257,0))</f>
        <v>184809.88999999996</v>
      </c>
      <c r="P72" s="5">
        <f t="shared" si="5"/>
        <v>-480.61000000004424</v>
      </c>
      <c r="Q72" s="58">
        <f t="shared" si="14"/>
        <v>382.2479147468639</v>
      </c>
      <c r="R72" s="6">
        <f t="shared" si="1"/>
        <v>382.2479147468639</v>
      </c>
      <c r="S72" s="5">
        <f t="shared" si="15"/>
        <v>184809.88999999996</v>
      </c>
      <c r="T72" s="82">
        <v>0.7222222222222221</v>
      </c>
      <c r="U72" s="60">
        <f t="shared" si="6"/>
        <v>42621.082423148291</v>
      </c>
      <c r="V72" s="60">
        <f t="shared" si="16"/>
        <v>34560.080339765795</v>
      </c>
      <c r="W72" s="60">
        <f t="shared" si="7"/>
        <v>9234.5678583487934</v>
      </c>
      <c r="X72" s="60">
        <f t="shared" si="8"/>
        <v>2237.5599114104743</v>
      </c>
      <c r="Y72" s="60">
        <f t="shared" si="9"/>
        <v>88653.290532673345</v>
      </c>
      <c r="Z72" s="63">
        <f t="shared" si="10"/>
        <v>0.4796999258680007</v>
      </c>
      <c r="AA72" s="59">
        <f t="shared" si="11"/>
        <v>88656.069185046697</v>
      </c>
      <c r="AB72" s="60"/>
      <c r="AC72" s="59">
        <v>89771.578977263503</v>
      </c>
      <c r="AD72" s="106">
        <f t="shared" si="12"/>
        <v>-1115.5097922168061</v>
      </c>
      <c r="AE72" s="106">
        <v>-1114.6481385929073</v>
      </c>
      <c r="AF72" s="106">
        <f t="shared" si="13"/>
        <v>-0.86165362389874645</v>
      </c>
      <c r="AG72" s="59"/>
    </row>
    <row r="73" spans="2:33" x14ac:dyDescent="0.35">
      <c r="B73">
        <v>613</v>
      </c>
      <c r="C73" s="17">
        <v>5</v>
      </c>
      <c r="D73" s="22" t="s">
        <v>77</v>
      </c>
      <c r="E73" s="90">
        <v>131.44881180778847</v>
      </c>
      <c r="F73" s="90">
        <f>INDEX('Revised 2019 Lockdown'!H$5:H$257,MATCH(B73,'Revised 2019 Lockdown'!B$5:B$257,0))</f>
        <v>131.44881180778847</v>
      </c>
      <c r="G73" s="90">
        <f t="shared" si="2"/>
        <v>0</v>
      </c>
      <c r="H73" s="5">
        <v>69874.64</v>
      </c>
      <c r="I73" s="5">
        <f>INDEX('Revised 2019 Lockdown'!E$5:E$257,MATCH(B73,'Revised 2019 Lockdown'!B$5:B$257,0))</f>
        <v>69874.64</v>
      </c>
      <c r="J73" s="5">
        <f t="shared" si="3"/>
        <v>0</v>
      </c>
      <c r="K73" s="5">
        <v>0</v>
      </c>
      <c r="L73" s="5">
        <f>INDEX('Revised 2019 Lockdown'!F$5:F$257,MATCH(B73,'Revised 2019 Lockdown'!B$5:B$257,0))</f>
        <v>0</v>
      </c>
      <c r="M73" s="5">
        <f t="shared" si="4"/>
        <v>0</v>
      </c>
      <c r="N73" s="5">
        <v>69874.64</v>
      </c>
      <c r="O73" s="60">
        <f>INDEX('Revised 2019 Lockdown'!G$5:G$257,MATCH(B73,'Revised 2019 Lockdown'!B$5:B$257,0))</f>
        <v>69874.64</v>
      </c>
      <c r="P73" s="5">
        <f t="shared" si="5"/>
        <v>0</v>
      </c>
      <c r="Q73" s="58">
        <f t="shared" si="14"/>
        <v>531.57300578855336</v>
      </c>
      <c r="R73" s="6">
        <f t="shared" si="1"/>
        <v>531.57300578855336</v>
      </c>
      <c r="S73" s="5">
        <f t="shared" si="15"/>
        <v>69874.64</v>
      </c>
      <c r="T73" s="82">
        <v>0.22222222222222221</v>
      </c>
      <c r="U73" s="60">
        <f t="shared" si="6"/>
        <v>16114.574770472595</v>
      </c>
      <c r="V73" s="60">
        <f t="shared" si="16"/>
        <v>9396.1799286512887</v>
      </c>
      <c r="W73" s="60">
        <f t="shared" si="7"/>
        <v>1074.3049846981728</v>
      </c>
      <c r="X73" s="60">
        <f t="shared" si="8"/>
        <v>845.99743708650453</v>
      </c>
      <c r="Y73" s="60">
        <f t="shared" si="9"/>
        <v>27431.057120908565</v>
      </c>
      <c r="Z73" s="63">
        <f t="shared" si="10"/>
        <v>0.3925752908481327</v>
      </c>
      <c r="AA73" s="59">
        <f t="shared" si="11"/>
        <v>27431.91689014572</v>
      </c>
      <c r="AB73" s="60"/>
      <c r="AC73" s="59">
        <v>27498.079739791221</v>
      </c>
      <c r="AD73" s="106">
        <f t="shared" si="12"/>
        <v>-66.16284964550141</v>
      </c>
      <c r="AE73" s="106">
        <v>-65.875361507045454</v>
      </c>
      <c r="AF73" s="106">
        <f t="shared" si="13"/>
        <v>-0.28748813845595578</v>
      </c>
      <c r="AG73" s="59"/>
    </row>
    <row r="74" spans="2:33" x14ac:dyDescent="0.35">
      <c r="B74">
        <v>696</v>
      </c>
      <c r="C74" s="17">
        <v>5</v>
      </c>
      <c r="D74" s="22" t="s">
        <v>78</v>
      </c>
      <c r="E74" s="90">
        <v>255.58264483294207</v>
      </c>
      <c r="F74" s="90">
        <f>INDEX('Revised 2019 Lockdown'!H$5:H$257,MATCH(B74,'Revised 2019 Lockdown'!B$5:B$257,0))</f>
        <v>255.58264483294207</v>
      </c>
      <c r="G74" s="90">
        <f t="shared" si="2"/>
        <v>0</v>
      </c>
      <c r="H74" s="5">
        <v>129470.73</v>
      </c>
      <c r="I74" s="5">
        <f>INDEX('Revised 2019 Lockdown'!E$5:E$257,MATCH(B74,'Revised 2019 Lockdown'!B$5:B$257,0))</f>
        <v>129470.73</v>
      </c>
      <c r="J74" s="5">
        <f t="shared" si="3"/>
        <v>0</v>
      </c>
      <c r="K74" s="5">
        <v>201.75</v>
      </c>
      <c r="L74" s="5">
        <f>INDEX('Revised 2019 Lockdown'!F$5:F$257,MATCH(B74,'Revised 2019 Lockdown'!B$5:B$257,0))</f>
        <v>201.75</v>
      </c>
      <c r="M74" s="5">
        <f t="shared" si="4"/>
        <v>0</v>
      </c>
      <c r="N74" s="5">
        <v>129268.98</v>
      </c>
      <c r="O74" s="60">
        <f>INDEX('Revised 2019 Lockdown'!G$5:G$257,MATCH(B74,'Revised 2019 Lockdown'!B$5:B$257,0))</f>
        <v>129268.98</v>
      </c>
      <c r="P74" s="5">
        <f t="shared" si="5"/>
        <v>0</v>
      </c>
      <c r="Q74" s="58">
        <f t="shared" si="14"/>
        <v>505.78152551983652</v>
      </c>
      <c r="R74" s="6">
        <f t="shared" si="1"/>
        <v>505.78152551983652</v>
      </c>
      <c r="S74" s="5">
        <f t="shared" si="15"/>
        <v>129268.98</v>
      </c>
      <c r="T74" s="82">
        <v>0.37268518518518512</v>
      </c>
      <c r="U74" s="60">
        <f t="shared" si="6"/>
        <v>29812.169961988016</v>
      </c>
      <c r="V74" s="60">
        <f t="shared" si="16"/>
        <v>18269.472994571486</v>
      </c>
      <c r="W74" s="60">
        <f t="shared" si="7"/>
        <v>3333.1662249167148</v>
      </c>
      <c r="X74" s="60">
        <f t="shared" si="8"/>
        <v>1565.1061068047952</v>
      </c>
      <c r="Y74" s="60">
        <f t="shared" si="9"/>
        <v>52979.915288281009</v>
      </c>
      <c r="Z74" s="63">
        <f t="shared" si="10"/>
        <v>0.40984244857723029</v>
      </c>
      <c r="AA74" s="59">
        <f t="shared" si="11"/>
        <v>52981.575833157251</v>
      </c>
      <c r="AB74" s="60"/>
      <c r="AC74" s="59">
        <v>53109.109205847584</v>
      </c>
      <c r="AD74" s="106">
        <f t="shared" si="12"/>
        <v>-127.53337269033364</v>
      </c>
      <c r="AE74" s="106">
        <v>-126.9713963801405</v>
      </c>
      <c r="AF74" s="106">
        <f t="shared" si="13"/>
        <v>-0.56197631019313121</v>
      </c>
      <c r="AG74" s="59"/>
    </row>
    <row r="75" spans="2:33" x14ac:dyDescent="0.35">
      <c r="B75">
        <v>731</v>
      </c>
      <c r="C75" s="17">
        <v>5</v>
      </c>
      <c r="D75" s="22" t="s">
        <v>79</v>
      </c>
      <c r="E75" s="90">
        <v>1049.3999999999999</v>
      </c>
      <c r="F75" s="90">
        <f>INDEX('Revised 2019 Lockdown'!H$5:H$257,MATCH(B75,'Revised 2019 Lockdown'!B$5:B$257,0))</f>
        <v>1049.3999999999999</v>
      </c>
      <c r="G75" s="90">
        <f t="shared" si="2"/>
        <v>0</v>
      </c>
      <c r="H75" s="5">
        <v>268966.73</v>
      </c>
      <c r="I75" s="5">
        <f>INDEX('Revised 2019 Lockdown'!E$5:E$257,MATCH(B75,'Revised 2019 Lockdown'!B$5:B$257,0))</f>
        <v>268966.73</v>
      </c>
      <c r="J75" s="5">
        <f t="shared" si="3"/>
        <v>0</v>
      </c>
      <c r="K75" s="5">
        <v>41367.85</v>
      </c>
      <c r="L75" s="5">
        <f>INDEX('Revised 2019 Lockdown'!F$5:F$257,MATCH(B75,'Revised 2019 Lockdown'!B$5:B$257,0))</f>
        <v>41367.85</v>
      </c>
      <c r="M75" s="5">
        <f t="shared" si="4"/>
        <v>0</v>
      </c>
      <c r="N75" s="5">
        <v>227598.87999999998</v>
      </c>
      <c r="O75" s="60">
        <f>INDEX('Revised 2019 Lockdown'!G$5:G$257,MATCH(B75,'Revised 2019 Lockdown'!B$5:B$257,0))</f>
        <v>227598.87999999998</v>
      </c>
      <c r="P75" s="5">
        <f t="shared" si="5"/>
        <v>0</v>
      </c>
      <c r="Q75" s="58">
        <f t="shared" si="14"/>
        <v>216.88477225080999</v>
      </c>
      <c r="R75" s="6">
        <f t="shared" si="1"/>
        <v>216.88477225080999</v>
      </c>
      <c r="S75" s="5">
        <f t="shared" si="15"/>
        <v>227598.87999999998</v>
      </c>
      <c r="T75" s="82">
        <v>0.69907407407407396</v>
      </c>
      <c r="U75" s="60">
        <f t="shared" si="6"/>
        <v>52489.131528059668</v>
      </c>
      <c r="V75" s="60">
        <f t="shared" si="16"/>
        <v>75012.859237898607</v>
      </c>
      <c r="W75" s="60">
        <f t="shared" si="7"/>
        <v>11008.137306579178</v>
      </c>
      <c r="X75" s="60">
        <f t="shared" si="8"/>
        <v>2755.6216270131608</v>
      </c>
      <c r="Y75" s="60">
        <f t="shared" si="9"/>
        <v>141265.74969955062</v>
      </c>
      <c r="Z75" s="63">
        <f t="shared" si="10"/>
        <v>0.62067858022653999</v>
      </c>
      <c r="AA75" s="59">
        <f t="shared" si="11"/>
        <v>141270.17737965498</v>
      </c>
      <c r="AB75" s="60"/>
      <c r="AC75" s="59">
        <v>141565.24399894639</v>
      </c>
      <c r="AD75" s="106">
        <f t="shared" si="12"/>
        <v>-295.06661929140682</v>
      </c>
      <c r="AE75" s="106">
        <v>-294.0113638851617</v>
      </c>
      <c r="AF75" s="106">
        <f t="shared" si="13"/>
        <v>-1.0552554062451236</v>
      </c>
      <c r="AG75" s="59"/>
    </row>
    <row r="76" spans="2:33" x14ac:dyDescent="0.35">
      <c r="B76">
        <v>732</v>
      </c>
      <c r="C76" s="17">
        <v>5</v>
      </c>
      <c r="D76" s="22" t="s">
        <v>80</v>
      </c>
      <c r="E76" s="90">
        <v>190.20939315714199</v>
      </c>
      <c r="F76" s="90">
        <f>INDEX('Revised 2019 Lockdown'!H$5:H$257,MATCH(B76,'Revised 2019 Lockdown'!B$5:B$257,0))</f>
        <v>190.20939315714199</v>
      </c>
      <c r="G76" s="90">
        <f t="shared" si="2"/>
        <v>0</v>
      </c>
      <c r="H76" s="5">
        <v>70626.64</v>
      </c>
      <c r="I76" s="5">
        <f>INDEX('Revised 2019 Lockdown'!E$5:E$257,MATCH(B76,'Revised 2019 Lockdown'!B$5:B$257,0))</f>
        <v>70626.64</v>
      </c>
      <c r="J76" s="5">
        <f t="shared" si="3"/>
        <v>0</v>
      </c>
      <c r="K76" s="5">
        <v>0</v>
      </c>
      <c r="L76" s="5">
        <f>INDEX('Revised 2019 Lockdown'!F$5:F$257,MATCH(B76,'Revised 2019 Lockdown'!B$5:B$257,0))</f>
        <v>0</v>
      </c>
      <c r="M76" s="5">
        <f t="shared" si="4"/>
        <v>0</v>
      </c>
      <c r="N76" s="5">
        <v>70626.64</v>
      </c>
      <c r="O76" s="60">
        <f>INDEX('Revised 2019 Lockdown'!G$5:G$257,MATCH(B76,'Revised 2019 Lockdown'!B$5:B$257,0))</f>
        <v>70626.64</v>
      </c>
      <c r="P76" s="5">
        <f t="shared" si="5"/>
        <v>0</v>
      </c>
      <c r="Q76" s="58">
        <f t="shared" si="14"/>
        <v>371.3099486188446</v>
      </c>
      <c r="R76" s="6">
        <f t="shared" si="1"/>
        <v>371.3099486188446</v>
      </c>
      <c r="S76" s="5">
        <f t="shared" si="15"/>
        <v>70626.64</v>
      </c>
      <c r="T76" s="82">
        <v>0.4907407407407407</v>
      </c>
      <c r="U76" s="60">
        <f t="shared" si="6"/>
        <v>16288.001928414236</v>
      </c>
      <c r="V76" s="60">
        <f t="shared" si="16"/>
        <v>13596.48411913742</v>
      </c>
      <c r="W76" s="60">
        <f t="shared" si="7"/>
        <v>2397.9558394609844</v>
      </c>
      <c r="X76" s="60">
        <f t="shared" si="8"/>
        <v>855.1021719758586</v>
      </c>
      <c r="Y76" s="60">
        <f t="shared" si="9"/>
        <v>33137.544058988497</v>
      </c>
      <c r="Z76" s="63">
        <f t="shared" si="10"/>
        <v>0.46919326841809972</v>
      </c>
      <c r="AA76" s="59">
        <f t="shared" si="11"/>
        <v>33138.582686149355</v>
      </c>
      <c r="AB76" s="60"/>
      <c r="AC76" s="59">
        <v>33214.635470658097</v>
      </c>
      <c r="AD76" s="106">
        <f t="shared" si="12"/>
        <v>-76.052784508741752</v>
      </c>
      <c r="AE76" s="106">
        <v>-75.734877140748722</v>
      </c>
      <c r="AF76" s="106">
        <f t="shared" si="13"/>
        <v>-0.31790736799302977</v>
      </c>
      <c r="AG76" s="59"/>
    </row>
    <row r="77" spans="2:33" x14ac:dyDescent="0.35">
      <c r="B77">
        <v>754</v>
      </c>
      <c r="C77" s="17">
        <v>5</v>
      </c>
      <c r="D77" s="22" t="s">
        <v>81</v>
      </c>
      <c r="E77" s="90">
        <v>100.39736101583898</v>
      </c>
      <c r="F77" s="90">
        <f>INDEX('Revised 2019 Lockdown'!H$5:H$257,MATCH(B77,'Revised 2019 Lockdown'!B$5:B$257,0))</f>
        <v>100.39736101583898</v>
      </c>
      <c r="G77" s="90">
        <f t="shared" si="2"/>
        <v>0</v>
      </c>
      <c r="H77" s="5">
        <v>35014.82</v>
      </c>
      <c r="I77" s="5">
        <f>INDEX('Revised 2019 Lockdown'!E$5:E$257,MATCH(B77,'Revised 2019 Lockdown'!B$5:B$257,0))</f>
        <v>35014.82</v>
      </c>
      <c r="J77" s="5">
        <f t="shared" si="3"/>
        <v>0</v>
      </c>
      <c r="K77" s="5">
        <v>0</v>
      </c>
      <c r="L77" s="5">
        <f>INDEX('Revised 2019 Lockdown'!F$5:F$257,MATCH(B77,'Revised 2019 Lockdown'!B$5:B$257,0))</f>
        <v>0</v>
      </c>
      <c r="M77" s="5">
        <f t="shared" si="4"/>
        <v>0</v>
      </c>
      <c r="N77" s="5">
        <v>35014.82</v>
      </c>
      <c r="O77" s="60">
        <f>INDEX('Revised 2019 Lockdown'!G$5:G$257,MATCH(B77,'Revised 2019 Lockdown'!B$5:B$257,0))</f>
        <v>35014.82</v>
      </c>
      <c r="P77" s="5">
        <f t="shared" si="5"/>
        <v>0</v>
      </c>
      <c r="Q77" s="58">
        <f t="shared" si="14"/>
        <v>348.762354365828</v>
      </c>
      <c r="R77" s="6">
        <f t="shared" si="1"/>
        <v>348.762354365828</v>
      </c>
      <c r="S77" s="5">
        <f t="shared" si="15"/>
        <v>35014.82</v>
      </c>
      <c r="T77" s="82">
        <v>0.22222222222222221</v>
      </c>
      <c r="U77" s="60">
        <f t="shared" si="6"/>
        <v>8075.1605298379955</v>
      </c>
      <c r="V77" s="60">
        <f t="shared" si="16"/>
        <v>7176.5705257648369</v>
      </c>
      <c r="W77" s="60">
        <f t="shared" si="7"/>
        <v>538.34403532253293</v>
      </c>
      <c r="X77" s="60">
        <f t="shared" si="8"/>
        <v>423.93703896070565</v>
      </c>
      <c r="Y77" s="60">
        <f t="shared" si="9"/>
        <v>16214.012129886069</v>
      </c>
      <c r="Z77" s="63">
        <f t="shared" si="10"/>
        <v>0.46306141599145928</v>
      </c>
      <c r="AA77" s="59">
        <f t="shared" si="11"/>
        <v>16214.520324257825</v>
      </c>
      <c r="AB77" s="60"/>
      <c r="AC77" s="59">
        <v>16250.860250864715</v>
      </c>
      <c r="AD77" s="106">
        <f t="shared" si="12"/>
        <v>-36.339926606890003</v>
      </c>
      <c r="AE77" s="106">
        <v>-36.19587280090127</v>
      </c>
      <c r="AF77" s="106">
        <f t="shared" si="13"/>
        <v>-0.14405380598873307</v>
      </c>
      <c r="AG77" s="59"/>
    </row>
    <row r="78" spans="2:33" x14ac:dyDescent="0.35">
      <c r="B78">
        <v>885</v>
      </c>
      <c r="C78" s="17">
        <v>5</v>
      </c>
      <c r="D78" s="22" t="s">
        <v>82</v>
      </c>
      <c r="E78" s="90">
        <v>441.47999999999996</v>
      </c>
      <c r="F78" s="90">
        <f>INDEX('Revised 2019 Lockdown'!H$5:H$257,MATCH(B78,'Revised 2019 Lockdown'!B$5:B$257,0))</f>
        <v>441.47999999999996</v>
      </c>
      <c r="G78" s="90">
        <f t="shared" si="2"/>
        <v>0</v>
      </c>
      <c r="H78" s="5">
        <v>146152.16</v>
      </c>
      <c r="I78" s="5">
        <f>INDEX('Revised 2019 Lockdown'!E$5:E$257,MATCH(B78,'Revised 2019 Lockdown'!B$5:B$257,0))</f>
        <v>146152.16</v>
      </c>
      <c r="J78" s="5">
        <f t="shared" si="3"/>
        <v>0</v>
      </c>
      <c r="K78" s="5">
        <v>0</v>
      </c>
      <c r="L78" s="5">
        <f>INDEX('Revised 2019 Lockdown'!F$5:F$257,MATCH(B78,'Revised 2019 Lockdown'!B$5:B$257,0))</f>
        <v>0</v>
      </c>
      <c r="M78" s="5">
        <f t="shared" si="4"/>
        <v>0</v>
      </c>
      <c r="N78" s="5">
        <v>146152.16</v>
      </c>
      <c r="O78" s="60">
        <f>INDEX('Revised 2019 Lockdown'!G$5:G$257,MATCH(B78,'Revised 2019 Lockdown'!B$5:B$257,0))</f>
        <v>146152.16</v>
      </c>
      <c r="P78" s="5">
        <f t="shared" si="5"/>
        <v>0</v>
      </c>
      <c r="Q78" s="58">
        <f t="shared" si="14"/>
        <v>331.05046661230409</v>
      </c>
      <c r="R78" s="6">
        <f t="shared" si="1"/>
        <v>331.05046661230409</v>
      </c>
      <c r="S78" s="5">
        <f t="shared" si="15"/>
        <v>146152.16</v>
      </c>
      <c r="T78" s="82">
        <v>0.4861111111111111</v>
      </c>
      <c r="U78" s="60">
        <f t="shared" si="6"/>
        <v>33705.789542330007</v>
      </c>
      <c r="V78" s="60">
        <f t="shared" si="16"/>
        <v>31557.725458688277</v>
      </c>
      <c r="W78" s="60">
        <f t="shared" si="7"/>
        <v>4915.4276415897921</v>
      </c>
      <c r="X78" s="60">
        <f t="shared" si="8"/>
        <v>1769.5168488117686</v>
      </c>
      <c r="Y78" s="60">
        <f t="shared" si="9"/>
        <v>71948.459491419839</v>
      </c>
      <c r="Z78" s="63">
        <f t="shared" si="10"/>
        <v>0.49228461277219465</v>
      </c>
      <c r="AA78" s="59">
        <f t="shared" si="11"/>
        <v>71950.714565727001</v>
      </c>
      <c r="AB78" s="60"/>
      <c r="AC78" s="59">
        <v>72112.372458699218</v>
      </c>
      <c r="AD78" s="106">
        <f t="shared" si="12"/>
        <v>-161.65789297221636</v>
      </c>
      <c r="AE78" s="106">
        <v>-161.01432880629727</v>
      </c>
      <c r="AF78" s="106">
        <f t="shared" si="13"/>
        <v>-0.64356416591908783</v>
      </c>
      <c r="AG78" s="59"/>
    </row>
    <row r="79" spans="2:33" x14ac:dyDescent="0.35">
      <c r="B79">
        <v>909</v>
      </c>
      <c r="C79" s="17">
        <v>5</v>
      </c>
      <c r="D79" s="22" t="s">
        <v>83</v>
      </c>
      <c r="E79" s="90">
        <v>447.85999999999996</v>
      </c>
      <c r="F79" s="90">
        <f>INDEX('Revised 2019 Lockdown'!H$5:H$257,MATCH(B79,'Revised 2019 Lockdown'!B$5:B$257,0))</f>
        <v>447.85999999999996</v>
      </c>
      <c r="G79" s="90">
        <f t="shared" si="2"/>
        <v>0</v>
      </c>
      <c r="H79" s="5">
        <v>200038.02</v>
      </c>
      <c r="I79" s="5">
        <f>INDEX('Revised 2019 Lockdown'!E$5:E$257,MATCH(B79,'Revised 2019 Lockdown'!B$5:B$257,0))</f>
        <v>200038.02</v>
      </c>
      <c r="J79" s="5">
        <f t="shared" si="3"/>
        <v>0</v>
      </c>
      <c r="K79" s="5">
        <v>620.13</v>
      </c>
      <c r="L79" s="5">
        <f>INDEX('Revised 2019 Lockdown'!F$5:F$257,MATCH(B79,'Revised 2019 Lockdown'!B$5:B$257,0))</f>
        <v>620.13</v>
      </c>
      <c r="M79" s="5">
        <f t="shared" si="4"/>
        <v>0</v>
      </c>
      <c r="N79" s="5">
        <v>199417.88999999998</v>
      </c>
      <c r="O79" s="60">
        <f>INDEX('Revised 2019 Lockdown'!G$5:G$257,MATCH(B79,'Revised 2019 Lockdown'!B$5:B$257,0))</f>
        <v>199417.88999999998</v>
      </c>
      <c r="P79" s="5">
        <f t="shared" si="5"/>
        <v>0</v>
      </c>
      <c r="Q79" s="58">
        <f t="shared" si="14"/>
        <v>445.26836511409817</v>
      </c>
      <c r="R79" s="6">
        <f t="shared" si="1"/>
        <v>445.26836511409817</v>
      </c>
      <c r="S79" s="5">
        <f t="shared" si="15"/>
        <v>199417.88999999998</v>
      </c>
      <c r="T79" s="82">
        <v>0.69444444444444442</v>
      </c>
      <c r="U79" s="60">
        <f t="shared" si="6"/>
        <v>45989.997214652969</v>
      </c>
      <c r="V79" s="60">
        <f t="shared" si="16"/>
        <v>32013.778481308625</v>
      </c>
      <c r="W79" s="60">
        <f t="shared" si="7"/>
        <v>9581.2494197193682</v>
      </c>
      <c r="X79" s="60">
        <f t="shared" si="8"/>
        <v>2414.4242295802665</v>
      </c>
      <c r="Y79" s="60">
        <f t="shared" si="9"/>
        <v>89999.449345261237</v>
      </c>
      <c r="Z79" s="63">
        <f t="shared" si="10"/>
        <v>0.45131080940261298</v>
      </c>
      <c r="AA79" s="59">
        <f t="shared" si="11"/>
        <v>90002.270190173149</v>
      </c>
      <c r="AB79" s="60"/>
      <c r="AC79" s="59">
        <v>90217.107422458663</v>
      </c>
      <c r="AD79" s="106">
        <f t="shared" si="12"/>
        <v>-214.83723228551389</v>
      </c>
      <c r="AE79" s="106">
        <v>-213.91352485085372</v>
      </c>
      <c r="AF79" s="106">
        <f t="shared" si="13"/>
        <v>-0.92370743466017302</v>
      </c>
      <c r="AG79" s="59"/>
    </row>
    <row r="80" spans="2:33" x14ac:dyDescent="0.35">
      <c r="B80">
        <v>923</v>
      </c>
      <c r="C80" s="17">
        <v>5</v>
      </c>
      <c r="D80" s="22" t="s">
        <v>84</v>
      </c>
      <c r="E80" s="90">
        <v>44.943349148505419</v>
      </c>
      <c r="F80" s="90">
        <f>INDEX('Revised 2019 Lockdown'!H$5:H$257,MATCH(B80,'Revised 2019 Lockdown'!B$5:B$257,0))</f>
        <v>44.943349148505419</v>
      </c>
      <c r="G80" s="90">
        <f t="shared" si="2"/>
        <v>0</v>
      </c>
      <c r="H80" s="5">
        <v>31192.39</v>
      </c>
      <c r="I80" s="5">
        <f>INDEX('Revised 2019 Lockdown'!E$5:E$257,MATCH(B80,'Revised 2019 Lockdown'!B$5:B$257,0))</f>
        <v>31192.39</v>
      </c>
      <c r="J80" s="5">
        <f t="shared" si="3"/>
        <v>0</v>
      </c>
      <c r="K80" s="5">
        <v>84</v>
      </c>
      <c r="L80" s="5">
        <f>INDEX('Revised 2019 Lockdown'!F$5:F$257,MATCH(B80,'Revised 2019 Lockdown'!B$5:B$257,0))</f>
        <v>84</v>
      </c>
      <c r="M80" s="5">
        <f t="shared" si="4"/>
        <v>0</v>
      </c>
      <c r="N80" s="5">
        <v>31108.39</v>
      </c>
      <c r="O80" s="60">
        <f>INDEX('Revised 2019 Lockdown'!G$5:G$257,MATCH(B80,'Revised 2019 Lockdown'!B$5:B$257,0))</f>
        <v>31108.39</v>
      </c>
      <c r="P80" s="5">
        <f t="shared" si="5"/>
        <v>0</v>
      </c>
      <c r="Q80" s="58">
        <f t="shared" si="14"/>
        <v>692.16893243111815</v>
      </c>
      <c r="R80" s="6">
        <f t="shared" si="1"/>
        <v>537.91823507791537</v>
      </c>
      <c r="S80" s="5">
        <f t="shared" si="15"/>
        <v>24175.847052454566</v>
      </c>
      <c r="T80" s="82">
        <v>0.37962962962962965</v>
      </c>
      <c r="U80" s="60">
        <f t="shared" si="6"/>
        <v>5575.4633578976382</v>
      </c>
      <c r="V80" s="60">
        <f t="shared" si="16"/>
        <v>3212.6254272503984</v>
      </c>
      <c r="W80" s="60">
        <f t="shared" si="7"/>
        <v>634.98332687167544</v>
      </c>
      <c r="X80" s="60">
        <f t="shared" si="8"/>
        <v>292.70568901352323</v>
      </c>
      <c r="Y80" s="60">
        <f t="shared" si="9"/>
        <v>9715.7778010332349</v>
      </c>
      <c r="Z80" s="63">
        <f t="shared" si="10"/>
        <v>0.40187951966906554</v>
      </c>
      <c r="AA80" s="59">
        <f t="shared" si="11"/>
        <v>9716.082321811693</v>
      </c>
      <c r="AB80" s="60"/>
      <c r="AC80" s="59">
        <v>9756.1129249488949</v>
      </c>
      <c r="AD80" s="106">
        <f t="shared" si="12"/>
        <v>-40.030603137201979</v>
      </c>
      <c r="AE80" s="106">
        <v>-39.927311660127089</v>
      </c>
      <c r="AF80" s="106">
        <f t="shared" si="13"/>
        <v>-0.10329147707489028</v>
      </c>
      <c r="AG80" s="59"/>
    </row>
    <row r="81" spans="2:33" x14ac:dyDescent="0.35">
      <c r="B81">
        <v>394</v>
      </c>
      <c r="C81" s="17">
        <v>6</v>
      </c>
      <c r="D81" s="22" t="s">
        <v>85</v>
      </c>
      <c r="E81" s="90">
        <v>594.22</v>
      </c>
      <c r="F81" s="90">
        <f>INDEX('Revised 2019 Lockdown'!H$5:H$257,MATCH(B81,'Revised 2019 Lockdown'!B$5:B$257,0))</f>
        <v>594.22</v>
      </c>
      <c r="G81" s="90">
        <f t="shared" si="2"/>
        <v>0</v>
      </c>
      <c r="H81" s="5">
        <v>421357.69</v>
      </c>
      <c r="I81" s="5">
        <f>INDEX('Revised 2019 Lockdown'!E$5:E$257,MATCH(B81,'Revised 2019 Lockdown'!B$5:B$257,0))</f>
        <v>421357.69</v>
      </c>
      <c r="J81" s="5">
        <f t="shared" si="3"/>
        <v>0</v>
      </c>
      <c r="K81" s="5">
        <v>25617.809999999998</v>
      </c>
      <c r="L81" s="5">
        <f>INDEX('Revised 2019 Lockdown'!F$5:F$257,MATCH(B81,'Revised 2019 Lockdown'!B$5:B$257,0))</f>
        <v>25617.809999999998</v>
      </c>
      <c r="M81" s="5">
        <f t="shared" si="4"/>
        <v>0</v>
      </c>
      <c r="N81" s="5">
        <v>395739.88</v>
      </c>
      <c r="O81" s="60">
        <f>INDEX('Revised 2019 Lockdown'!G$5:G$257,MATCH(B81,'Revised 2019 Lockdown'!B$5:B$257,0))</f>
        <v>395739.88</v>
      </c>
      <c r="P81" s="5">
        <f t="shared" si="5"/>
        <v>0</v>
      </c>
      <c r="Q81" s="58">
        <f t="shared" si="14"/>
        <v>665.982094173875</v>
      </c>
      <c r="R81" s="6">
        <f t="shared" si="1"/>
        <v>665.982094173875</v>
      </c>
      <c r="S81" s="5">
        <f t="shared" si="15"/>
        <v>395739.88</v>
      </c>
      <c r="T81" s="82">
        <v>0.77314814814814814</v>
      </c>
      <c r="U81" s="60">
        <f t="shared" si="6"/>
        <v>91266.014192242743</v>
      </c>
      <c r="V81" s="60">
        <f t="shared" si="16"/>
        <v>42475.834968881376</v>
      </c>
      <c r="W81" s="60">
        <f t="shared" si="7"/>
        <v>21168.644958478522</v>
      </c>
      <c r="X81" s="60">
        <f t="shared" si="8"/>
        <v>4791.3652826393218</v>
      </c>
      <c r="Y81" s="60">
        <f t="shared" si="9"/>
        <v>159701.85940224194</v>
      </c>
      <c r="Z81" s="63">
        <f t="shared" si="10"/>
        <v>0.40355260481264094</v>
      </c>
      <c r="AA81" s="59">
        <f t="shared" si="11"/>
        <v>159706.86492372898</v>
      </c>
      <c r="AB81" s="60"/>
      <c r="AC81" s="59">
        <v>160112.41721898186</v>
      </c>
      <c r="AD81" s="106">
        <f t="shared" si="12"/>
        <v>-405.55229525288451</v>
      </c>
      <c r="AE81" s="106">
        <v>-403.68499219501973</v>
      </c>
      <c r="AF81" s="106">
        <f t="shared" si="13"/>
        <v>-1.867303057864774</v>
      </c>
      <c r="AG81" s="59"/>
    </row>
    <row r="82" spans="2:33" x14ac:dyDescent="0.35">
      <c r="B82">
        <v>414</v>
      </c>
      <c r="C82" s="17">
        <v>6</v>
      </c>
      <c r="D82" s="22" t="s">
        <v>86</v>
      </c>
      <c r="E82" s="90">
        <v>165.57466674439706</v>
      </c>
      <c r="F82" s="90">
        <f>INDEX('Revised 2019 Lockdown'!H$5:H$257,MATCH(B82,'Revised 2019 Lockdown'!B$5:B$257,0))</f>
        <v>165.57466674439706</v>
      </c>
      <c r="G82" s="90">
        <f t="shared" si="2"/>
        <v>0</v>
      </c>
      <c r="H82" s="5">
        <v>222802.48</v>
      </c>
      <c r="I82" s="5">
        <f>INDEX('Revised 2019 Lockdown'!E$5:E$257,MATCH(B82,'Revised 2019 Lockdown'!B$5:B$257,0))</f>
        <v>222802.48</v>
      </c>
      <c r="J82" s="5">
        <f t="shared" si="3"/>
        <v>0</v>
      </c>
      <c r="K82" s="5">
        <v>11641.15</v>
      </c>
      <c r="L82" s="5">
        <f>INDEX('Revised 2019 Lockdown'!F$5:F$257,MATCH(B82,'Revised 2019 Lockdown'!B$5:B$257,0))</f>
        <v>11641.15</v>
      </c>
      <c r="M82" s="5">
        <f t="shared" si="4"/>
        <v>0</v>
      </c>
      <c r="N82" s="5">
        <v>211161.33000000002</v>
      </c>
      <c r="O82" s="60">
        <f>INDEX('Revised 2019 Lockdown'!G$5:G$257,MATCH(B82,'Revised 2019 Lockdown'!B$5:B$257,0))</f>
        <v>211161.33000000002</v>
      </c>
      <c r="P82" s="5">
        <f t="shared" si="5"/>
        <v>0</v>
      </c>
      <c r="Q82" s="58">
        <f t="shared" si="14"/>
        <v>1275.3239016085506</v>
      </c>
      <c r="R82" s="6">
        <f t="shared" si="1"/>
        <v>1275.3239016085506</v>
      </c>
      <c r="S82" s="5">
        <f t="shared" si="15"/>
        <v>211161.33</v>
      </c>
      <c r="T82" s="82">
        <v>0.58796296296296302</v>
      </c>
      <c r="U82" s="60">
        <f t="shared" si="6"/>
        <v>48698.283682283552</v>
      </c>
      <c r="V82" s="60">
        <f t="shared" si="16"/>
        <v>11835.552858642492</v>
      </c>
      <c r="W82" s="60">
        <f t="shared" si="7"/>
        <v>8589.8361495139052</v>
      </c>
      <c r="X82" s="60">
        <f t="shared" si="8"/>
        <v>2556.6062879433457</v>
      </c>
      <c r="Y82" s="60">
        <f t="shared" si="9"/>
        <v>71680.2789783833</v>
      </c>
      <c r="Z82" s="63">
        <f t="shared" si="10"/>
        <v>0.33945741380954225</v>
      </c>
      <c r="AA82" s="59">
        <f t="shared" si="11"/>
        <v>71682.525647131959</v>
      </c>
      <c r="AB82" s="60"/>
      <c r="AC82" s="59">
        <v>71876.931255227028</v>
      </c>
      <c r="AD82" s="106">
        <f t="shared" si="12"/>
        <v>-194.4056080950686</v>
      </c>
      <c r="AE82" s="106">
        <v>-193.44637832397711</v>
      </c>
      <c r="AF82" s="106">
        <f t="shared" si="13"/>
        <v>-0.95922977109148633</v>
      </c>
      <c r="AG82" s="59"/>
    </row>
    <row r="83" spans="2:33" x14ac:dyDescent="0.35">
      <c r="B83">
        <v>426</v>
      </c>
      <c r="C83" s="17">
        <v>6</v>
      </c>
      <c r="D83" s="22" t="s">
        <v>87</v>
      </c>
      <c r="E83" s="90">
        <v>463.46518252947482</v>
      </c>
      <c r="F83" s="90">
        <f>INDEX('Revised 2019 Lockdown'!H$5:H$257,MATCH(B83,'Revised 2019 Lockdown'!B$5:B$257,0))</f>
        <v>463.46518252947482</v>
      </c>
      <c r="G83" s="90">
        <f t="shared" si="2"/>
        <v>0</v>
      </c>
      <c r="H83" s="5">
        <v>170973.35</v>
      </c>
      <c r="I83" s="5">
        <f>INDEX('Revised 2019 Lockdown'!E$5:E$257,MATCH(B83,'Revised 2019 Lockdown'!B$5:B$257,0))</f>
        <v>170973.35</v>
      </c>
      <c r="J83" s="5">
        <f t="shared" si="3"/>
        <v>0</v>
      </c>
      <c r="K83" s="5">
        <v>420</v>
      </c>
      <c r="L83" s="5">
        <f>INDEX('Revised 2019 Lockdown'!F$5:F$257,MATCH(B83,'Revised 2019 Lockdown'!B$5:B$257,0))</f>
        <v>420</v>
      </c>
      <c r="M83" s="5">
        <f t="shared" si="4"/>
        <v>0</v>
      </c>
      <c r="N83" s="5">
        <v>170553.35</v>
      </c>
      <c r="O83" s="60">
        <f>INDEX('Revised 2019 Lockdown'!G$5:G$257,MATCH(B83,'Revised 2019 Lockdown'!B$5:B$257,0))</f>
        <v>170553.35</v>
      </c>
      <c r="P83" s="5">
        <f t="shared" si="5"/>
        <v>0</v>
      </c>
      <c r="Q83" s="58">
        <f t="shared" si="14"/>
        <v>367.9960360110835</v>
      </c>
      <c r="R83" s="6">
        <f t="shared" si="1"/>
        <v>367.9960360110835</v>
      </c>
      <c r="S83" s="5">
        <f t="shared" si="15"/>
        <v>170553.35</v>
      </c>
      <c r="T83" s="82">
        <v>0.79629629629629628</v>
      </c>
      <c r="U83" s="60">
        <f t="shared" si="6"/>
        <v>39333.221765859293</v>
      </c>
      <c r="V83" s="60">
        <f t="shared" si="16"/>
        <v>33129.262910949576</v>
      </c>
      <c r="W83" s="60">
        <f t="shared" si="7"/>
        <v>9396.2696440663858</v>
      </c>
      <c r="X83" s="60">
        <f t="shared" si="8"/>
        <v>2064.9508460654338</v>
      </c>
      <c r="Y83" s="60">
        <f t="shared" si="9"/>
        <v>83923.705166940694</v>
      </c>
      <c r="Z83" s="63">
        <f t="shared" si="10"/>
        <v>0.49206717526768423</v>
      </c>
      <c r="AA83" s="59">
        <f t="shared" si="11"/>
        <v>83926.335580331346</v>
      </c>
      <c r="AB83" s="60"/>
      <c r="AC83" s="59">
        <v>84121.057172218847</v>
      </c>
      <c r="AD83" s="106">
        <f t="shared" si="12"/>
        <v>-194.72159188750084</v>
      </c>
      <c r="AE83" s="106">
        <v>-193.91255997310509</v>
      </c>
      <c r="AF83" s="106">
        <f t="shared" si="13"/>
        <v>-0.80903191439574584</v>
      </c>
      <c r="AG83" s="59"/>
    </row>
    <row r="84" spans="2:33" x14ac:dyDescent="0.35">
      <c r="B84">
        <v>430</v>
      </c>
      <c r="C84" s="17">
        <v>6</v>
      </c>
      <c r="D84" s="22" t="s">
        <v>88</v>
      </c>
      <c r="E84" s="90">
        <v>2460.6196060451061</v>
      </c>
      <c r="F84" s="90">
        <f>INDEX('Revised 2019 Lockdown'!H$5:H$257,MATCH(B84,'Revised 2019 Lockdown'!B$5:B$257,0))</f>
        <v>2460.6196060451061</v>
      </c>
      <c r="G84" s="90">
        <f t="shared" si="2"/>
        <v>0</v>
      </c>
      <c r="H84" s="5">
        <v>1748413.46</v>
      </c>
      <c r="I84" s="5">
        <f>INDEX('Revised 2019 Lockdown'!E$5:E$257,MATCH(B84,'Revised 2019 Lockdown'!B$5:B$257,0))</f>
        <v>1748413.46</v>
      </c>
      <c r="J84" s="5">
        <f t="shared" si="3"/>
        <v>0</v>
      </c>
      <c r="K84" s="5">
        <v>480</v>
      </c>
      <c r="L84" s="5">
        <f>INDEX('Revised 2019 Lockdown'!F$5:F$257,MATCH(B84,'Revised 2019 Lockdown'!B$5:B$257,0))</f>
        <v>480</v>
      </c>
      <c r="M84" s="5">
        <f t="shared" si="4"/>
        <v>0</v>
      </c>
      <c r="N84" s="5">
        <v>1747933.46</v>
      </c>
      <c r="O84" s="60">
        <f>INDEX('Revised 2019 Lockdown'!G$5:G$257,MATCH(B84,'Revised 2019 Lockdown'!B$5:B$257,0))</f>
        <v>1747933.46</v>
      </c>
      <c r="P84" s="5">
        <f t="shared" si="5"/>
        <v>0</v>
      </c>
      <c r="Q84" s="58">
        <f t="shared" si="14"/>
        <v>710.36313605962471</v>
      </c>
      <c r="R84" s="6">
        <f t="shared" si="1"/>
        <v>710.36313605962471</v>
      </c>
      <c r="S84" s="5">
        <f t="shared" si="15"/>
        <v>1747933.46</v>
      </c>
      <c r="T84" s="82">
        <v>0.53935185185185186</v>
      </c>
      <c r="U84" s="60">
        <f t="shared" si="6"/>
        <v>403110.54819002817</v>
      </c>
      <c r="V84" s="60">
        <f t="shared" si="16"/>
        <v>175889.18634102828</v>
      </c>
      <c r="W84" s="60">
        <f t="shared" si="7"/>
        <v>65225.526200192049</v>
      </c>
      <c r="X84" s="60">
        <f t="shared" si="8"/>
        <v>21162.86004990861</v>
      </c>
      <c r="Y84" s="60">
        <f t="shared" si="9"/>
        <v>665388.12078115717</v>
      </c>
      <c r="Z84" s="63">
        <f t="shared" si="10"/>
        <v>0.38067131044059149</v>
      </c>
      <c r="AA84" s="59">
        <f t="shared" si="11"/>
        <v>665408.97598314576</v>
      </c>
      <c r="AB84" s="60"/>
      <c r="AC84" s="59">
        <v>667101.34744308237</v>
      </c>
      <c r="AD84" s="106">
        <f t="shared" si="12"/>
        <v>-1692.3714599366067</v>
      </c>
      <c r="AE84" s="106">
        <v>-1684.4871657565236</v>
      </c>
      <c r="AF84" s="106">
        <f t="shared" si="13"/>
        <v>-7.8842941800830886</v>
      </c>
      <c r="AG84" s="59"/>
    </row>
    <row r="85" spans="2:33" x14ac:dyDescent="0.35">
      <c r="B85">
        <v>443</v>
      </c>
      <c r="C85" s="17">
        <v>6</v>
      </c>
      <c r="D85" s="22" t="s">
        <v>89</v>
      </c>
      <c r="E85" s="90">
        <v>15.06</v>
      </c>
      <c r="F85" s="90">
        <f>INDEX('Revised 2019 Lockdown'!H$5:H$257,MATCH(B85,'Revised 2019 Lockdown'!B$5:B$257,0))</f>
        <v>15.06</v>
      </c>
      <c r="G85" s="90">
        <f t="shared" si="2"/>
        <v>0</v>
      </c>
      <c r="H85" s="5">
        <v>15830.2</v>
      </c>
      <c r="I85" s="5">
        <f>INDEX('Revised 2019 Lockdown'!E$5:E$257,MATCH(B85,'Revised 2019 Lockdown'!B$5:B$257,0))</f>
        <v>15830.2</v>
      </c>
      <c r="J85" s="5">
        <f t="shared" si="3"/>
        <v>0</v>
      </c>
      <c r="K85" s="5">
        <v>0</v>
      </c>
      <c r="L85" s="5">
        <f>INDEX('Revised 2019 Lockdown'!F$5:F$257,MATCH(B85,'Revised 2019 Lockdown'!B$5:B$257,0))</f>
        <v>0</v>
      </c>
      <c r="M85" s="5">
        <f t="shared" si="4"/>
        <v>0</v>
      </c>
      <c r="N85" s="5">
        <v>15830.2</v>
      </c>
      <c r="O85" s="60">
        <f>INDEX('Revised 2019 Lockdown'!G$5:G$257,MATCH(B85,'Revised 2019 Lockdown'!B$5:B$257,0))</f>
        <v>15830.2</v>
      </c>
      <c r="P85" s="5">
        <f t="shared" si="5"/>
        <v>0</v>
      </c>
      <c r="Q85" s="58">
        <f t="shared" si="14"/>
        <v>1051.1420982735724</v>
      </c>
      <c r="R85" s="6">
        <f t="shared" si="1"/>
        <v>1051.1420982735724</v>
      </c>
      <c r="S85" s="5">
        <f t="shared" si="15"/>
        <v>15830.2</v>
      </c>
      <c r="T85" s="82">
        <v>0.40277777777777779</v>
      </c>
      <c r="U85" s="60">
        <f t="shared" si="6"/>
        <v>3650.7800474039691</v>
      </c>
      <c r="V85" s="60">
        <f t="shared" si="16"/>
        <v>1076.5138747119813</v>
      </c>
      <c r="W85" s="60">
        <f t="shared" si="7"/>
        <v>441.13592239464629</v>
      </c>
      <c r="X85" s="60">
        <f t="shared" si="8"/>
        <v>191.66193383703708</v>
      </c>
      <c r="Y85" s="60">
        <f t="shared" si="9"/>
        <v>5360.0917783476343</v>
      </c>
      <c r="Z85" s="63">
        <f t="shared" si="10"/>
        <v>0.33859911930030157</v>
      </c>
      <c r="AA85" s="59">
        <f t="shared" si="11"/>
        <v>5360.2597792379775</v>
      </c>
      <c r="AB85" s="60"/>
      <c r="AC85" s="59">
        <v>5374.4770987785296</v>
      </c>
      <c r="AD85" s="106">
        <f t="shared" si="12"/>
        <v>-14.217319540552126</v>
      </c>
      <c r="AE85" s="106">
        <v>-14.149050859179624</v>
      </c>
      <c r="AF85" s="106">
        <f t="shared" si="13"/>
        <v>-6.8268681372501305E-2</v>
      </c>
      <c r="AG85" s="59"/>
    </row>
    <row r="86" spans="2:33" x14ac:dyDescent="0.35">
      <c r="B86">
        <v>562</v>
      </c>
      <c r="C86" s="17">
        <v>6</v>
      </c>
      <c r="D86" s="22" t="s">
        <v>90</v>
      </c>
      <c r="E86" s="90">
        <v>81.472925896153384</v>
      </c>
      <c r="F86" s="90">
        <f>INDEX('Revised 2019 Lockdown'!H$5:H$257,MATCH(B86,'Revised 2019 Lockdown'!B$5:B$257,0))</f>
        <v>81.472925896153384</v>
      </c>
      <c r="G86" s="90">
        <f t="shared" si="2"/>
        <v>0</v>
      </c>
      <c r="H86" s="5">
        <v>48863.76</v>
      </c>
      <c r="I86" s="5">
        <f>INDEX('Revised 2019 Lockdown'!E$5:E$257,MATCH(B86,'Revised 2019 Lockdown'!B$5:B$257,0))</f>
        <v>48863.76</v>
      </c>
      <c r="J86" s="5">
        <f t="shared" si="3"/>
        <v>0</v>
      </c>
      <c r="K86" s="5">
        <v>0</v>
      </c>
      <c r="L86" s="5">
        <f>INDEX('Revised 2019 Lockdown'!F$5:F$257,MATCH(B86,'Revised 2019 Lockdown'!B$5:B$257,0))</f>
        <v>0</v>
      </c>
      <c r="M86" s="5">
        <f t="shared" si="4"/>
        <v>0</v>
      </c>
      <c r="N86" s="5">
        <v>48863.76</v>
      </c>
      <c r="O86" s="60">
        <f>INDEX('Revised 2019 Lockdown'!G$5:G$257,MATCH(B86,'Revised 2019 Lockdown'!B$5:B$257,0))</f>
        <v>48863.76</v>
      </c>
      <c r="P86" s="5">
        <f t="shared" si="5"/>
        <v>0</v>
      </c>
      <c r="Q86" s="58">
        <f t="shared" si="14"/>
        <v>599.75457444946176</v>
      </c>
      <c r="R86" s="6">
        <f t="shared" si="1"/>
        <v>599.75457444946176</v>
      </c>
      <c r="S86" s="5">
        <f t="shared" si="15"/>
        <v>48863.760000000009</v>
      </c>
      <c r="T86" s="82">
        <v>0.5092592592592593</v>
      </c>
      <c r="U86" s="60">
        <f t="shared" si="6"/>
        <v>11269.019977583113</v>
      </c>
      <c r="V86" s="60">
        <f t="shared" si="16"/>
        <v>5823.8203944615007</v>
      </c>
      <c r="W86" s="60">
        <f t="shared" si="7"/>
        <v>1721.6558299085311</v>
      </c>
      <c r="X86" s="60">
        <f t="shared" si="8"/>
        <v>591.6111442779536</v>
      </c>
      <c r="Y86" s="60">
        <f t="shared" si="9"/>
        <v>19406.1073462311</v>
      </c>
      <c r="Z86" s="63">
        <f t="shared" si="10"/>
        <v>0.39714723848985622</v>
      </c>
      <c r="AA86" s="59">
        <f t="shared" si="11"/>
        <v>19406.715590165546</v>
      </c>
      <c r="AB86" s="60"/>
      <c r="AC86" s="59">
        <v>19454.894936267461</v>
      </c>
      <c r="AD86" s="106">
        <f t="shared" si="12"/>
        <v>-48.179346101915144</v>
      </c>
      <c r="AE86" s="106">
        <v>-47.962922484708542</v>
      </c>
      <c r="AF86" s="106">
        <f t="shared" si="13"/>
        <v>-0.21642361720660119</v>
      </c>
      <c r="AG86" s="59"/>
    </row>
    <row r="87" spans="2:33" x14ac:dyDescent="0.35">
      <c r="B87">
        <v>603</v>
      </c>
      <c r="C87" s="17">
        <v>6</v>
      </c>
      <c r="D87" s="22" t="s">
        <v>91</v>
      </c>
      <c r="E87" s="90">
        <v>97.242711867752604</v>
      </c>
      <c r="F87" s="90">
        <f>INDEX('Revised 2019 Lockdown'!H$5:H$257,MATCH(B87,'Revised 2019 Lockdown'!B$5:B$257,0))</f>
        <v>97.242711867752604</v>
      </c>
      <c r="G87" s="90">
        <f t="shared" si="2"/>
        <v>0</v>
      </c>
      <c r="H87" s="5">
        <v>86512.44</v>
      </c>
      <c r="I87" s="5">
        <f>INDEX('Revised 2019 Lockdown'!E$5:E$257,MATCH(B87,'Revised 2019 Lockdown'!B$5:B$257,0))</f>
        <v>86512.44</v>
      </c>
      <c r="J87" s="5">
        <f t="shared" si="3"/>
        <v>0</v>
      </c>
      <c r="K87" s="5">
        <v>0</v>
      </c>
      <c r="L87" s="5">
        <f>INDEX('Revised 2019 Lockdown'!F$5:F$257,MATCH(B87,'Revised 2019 Lockdown'!B$5:B$257,0))</f>
        <v>0</v>
      </c>
      <c r="M87" s="5">
        <f t="shared" si="4"/>
        <v>0</v>
      </c>
      <c r="N87" s="5">
        <v>86512.44</v>
      </c>
      <c r="O87" s="60">
        <f>INDEX('Revised 2019 Lockdown'!G$5:G$257,MATCH(B87,'Revised 2019 Lockdown'!B$5:B$257,0))</f>
        <v>86512.44</v>
      </c>
      <c r="P87" s="5">
        <f t="shared" si="5"/>
        <v>0</v>
      </c>
      <c r="Q87" s="58">
        <f t="shared" si="14"/>
        <v>889.65474469340722</v>
      </c>
      <c r="R87" s="6">
        <f t="shared" si="1"/>
        <v>889.65474469340722</v>
      </c>
      <c r="S87" s="5">
        <f t="shared" si="15"/>
        <v>86512.44</v>
      </c>
      <c r="T87" s="82">
        <v>0.31134259259259256</v>
      </c>
      <c r="U87" s="60">
        <f t="shared" si="6"/>
        <v>19951.604515687297</v>
      </c>
      <c r="V87" s="60">
        <f t="shared" si="16"/>
        <v>6951.0709522081752</v>
      </c>
      <c r="W87" s="60">
        <f t="shared" si="7"/>
        <v>1863.5352828888479</v>
      </c>
      <c r="X87" s="60">
        <f t="shared" si="8"/>
        <v>1047.437275041417</v>
      </c>
      <c r="Y87" s="60">
        <f t="shared" si="9"/>
        <v>29813.648025825736</v>
      </c>
      <c r="Z87" s="63">
        <f t="shared" si="10"/>
        <v>0.34461689007760887</v>
      </c>
      <c r="AA87" s="59">
        <f t="shared" si="11"/>
        <v>29814.582472402366</v>
      </c>
      <c r="AB87" s="60"/>
      <c r="AC87" s="59">
        <v>29892.037027657116</v>
      </c>
      <c r="AD87" s="106">
        <f t="shared" si="12"/>
        <v>-77.454555254749721</v>
      </c>
      <c r="AE87" s="106">
        <v>-77.086795642677316</v>
      </c>
      <c r="AF87" s="106">
        <f t="shared" si="13"/>
        <v>-0.36775961207240471</v>
      </c>
      <c r="AG87" s="59"/>
    </row>
    <row r="88" spans="2:33" x14ac:dyDescent="0.35">
      <c r="B88">
        <v>618</v>
      </c>
      <c r="C88" s="17">
        <v>6</v>
      </c>
      <c r="D88" s="22" t="s">
        <v>92</v>
      </c>
      <c r="E88" s="90">
        <v>17.61132857645476</v>
      </c>
      <c r="F88" s="90">
        <f>INDEX('Revised 2019 Lockdown'!H$5:H$257,MATCH(B88,'Revised 2019 Lockdown'!B$5:B$257,0))</f>
        <v>17.61132857645476</v>
      </c>
      <c r="G88" s="90">
        <f t="shared" si="2"/>
        <v>0</v>
      </c>
      <c r="H88" s="5">
        <v>17288.669999999998</v>
      </c>
      <c r="I88" s="5">
        <f>INDEX('Revised 2019 Lockdown'!E$5:E$257,MATCH(B88,'Revised 2019 Lockdown'!B$5:B$257,0))</f>
        <v>17288.669999999998</v>
      </c>
      <c r="J88" s="5">
        <f t="shared" si="3"/>
        <v>0</v>
      </c>
      <c r="K88" s="5">
        <v>16785.12</v>
      </c>
      <c r="L88" s="5">
        <f>INDEX('Revised 2019 Lockdown'!F$5:F$257,MATCH(B88,'Revised 2019 Lockdown'!B$5:B$257,0))</f>
        <v>0</v>
      </c>
      <c r="M88" s="5">
        <f t="shared" si="4"/>
        <v>-16785.12</v>
      </c>
      <c r="N88" s="5">
        <v>503.54999999999927</v>
      </c>
      <c r="O88" s="60">
        <f>INDEX('Revised 2019 Lockdown'!G$5:G$257,MATCH(B88,'Revised 2019 Lockdown'!B$5:B$257,0))</f>
        <v>17288.669999999998</v>
      </c>
      <c r="P88" s="5">
        <f t="shared" si="5"/>
        <v>16785.12</v>
      </c>
      <c r="Q88" s="58">
        <f t="shared" si="14"/>
        <v>981.67891905178942</v>
      </c>
      <c r="R88" s="6">
        <f t="shared" si="1"/>
        <v>981.67891905178942</v>
      </c>
      <c r="S88" s="5">
        <f t="shared" si="15"/>
        <v>17288.669999999998</v>
      </c>
      <c r="T88" s="82">
        <v>0.27777777777777779</v>
      </c>
      <c r="U88" s="60">
        <f t="shared" si="6"/>
        <v>3987.1341791102809</v>
      </c>
      <c r="V88" s="60">
        <f t="shared" si="16"/>
        <v>1258.8870892871948</v>
      </c>
      <c r="W88" s="60">
        <f t="shared" si="7"/>
        <v>332.26118159252343</v>
      </c>
      <c r="X88" s="60">
        <f t="shared" si="8"/>
        <v>209.32015550469151</v>
      </c>
      <c r="Y88" s="60">
        <f t="shared" si="9"/>
        <v>5787.6026054946915</v>
      </c>
      <c r="Z88" s="63">
        <f t="shared" si="10"/>
        <v>0.33476274377928966</v>
      </c>
      <c r="AA88" s="59">
        <f t="shared" si="11"/>
        <v>5787.7840058197007</v>
      </c>
      <c r="AB88" s="60"/>
      <c r="AC88" s="59">
        <v>377.66249999999945</v>
      </c>
      <c r="AD88" s="106">
        <f t="shared" si="12"/>
        <v>5410.1215058197013</v>
      </c>
      <c r="AE88" s="106">
        <v>5410.1943005197681</v>
      </c>
      <c r="AF88" s="106">
        <f t="shared" si="13"/>
        <v>-7.2794700066879159E-2</v>
      </c>
      <c r="AG88" s="59"/>
    </row>
    <row r="89" spans="2:33" x14ac:dyDescent="0.35">
      <c r="B89">
        <v>620</v>
      </c>
      <c r="C89" s="17">
        <v>6</v>
      </c>
      <c r="D89" s="22" t="s">
        <v>93</v>
      </c>
      <c r="E89" s="90">
        <v>235.76910512683102</v>
      </c>
      <c r="F89" s="90">
        <f>INDEX('Revised 2019 Lockdown'!H$5:H$257,MATCH(B89,'Revised 2019 Lockdown'!B$5:B$257,0))</f>
        <v>235.76910512683102</v>
      </c>
      <c r="G89" s="90">
        <f t="shared" si="2"/>
        <v>0</v>
      </c>
      <c r="H89" s="5">
        <v>122866.55</v>
      </c>
      <c r="I89" s="5">
        <f>INDEX('Revised 2019 Lockdown'!E$5:E$257,MATCH(B89,'Revised 2019 Lockdown'!B$5:B$257,0))</f>
        <v>122866.55</v>
      </c>
      <c r="J89" s="5">
        <f t="shared" si="3"/>
        <v>0</v>
      </c>
      <c r="K89" s="5">
        <v>0</v>
      </c>
      <c r="L89" s="5">
        <f>INDEX('Revised 2019 Lockdown'!F$5:F$257,MATCH(B89,'Revised 2019 Lockdown'!B$5:B$257,0))</f>
        <v>0</v>
      </c>
      <c r="M89" s="5">
        <f t="shared" si="4"/>
        <v>0</v>
      </c>
      <c r="N89" s="5">
        <v>122866.55</v>
      </c>
      <c r="O89" s="60">
        <f>INDEX('Revised 2019 Lockdown'!G$5:G$257,MATCH(B89,'Revised 2019 Lockdown'!B$5:B$257,0))</f>
        <v>122866.55</v>
      </c>
      <c r="P89" s="5">
        <f t="shared" si="5"/>
        <v>0</v>
      </c>
      <c r="Q89" s="58">
        <f t="shared" si="14"/>
        <v>521.13083236204523</v>
      </c>
      <c r="R89" s="6">
        <f t="shared" si="1"/>
        <v>521.13083236204523</v>
      </c>
      <c r="S89" s="5">
        <f t="shared" si="15"/>
        <v>122866.54999999999</v>
      </c>
      <c r="T89" s="82">
        <v>0.53703703703703698</v>
      </c>
      <c r="U89" s="60">
        <f t="shared" si="6"/>
        <v>28335.633740152498</v>
      </c>
      <c r="V89" s="60">
        <f t="shared" si="16"/>
        <v>16853.168187082425</v>
      </c>
      <c r="W89" s="60">
        <f t="shared" si="7"/>
        <v>4565.1854359134568</v>
      </c>
      <c r="X89" s="60">
        <f t="shared" si="8"/>
        <v>1487.5895804781371</v>
      </c>
      <c r="Y89" s="60">
        <f t="shared" si="9"/>
        <v>51241.576943626518</v>
      </c>
      <c r="Z89" s="63">
        <f t="shared" si="10"/>
        <v>0.41705066955673881</v>
      </c>
      <c r="AA89" s="59">
        <f t="shared" si="11"/>
        <v>51243.183003915241</v>
      </c>
      <c r="AB89" s="60"/>
      <c r="AC89" s="59">
        <v>51367.87949915159</v>
      </c>
      <c r="AD89" s="106">
        <f t="shared" si="12"/>
        <v>-124.69649523634871</v>
      </c>
      <c r="AE89" s="106">
        <v>-124.14857012683933</v>
      </c>
      <c r="AF89" s="106">
        <f t="shared" si="13"/>
        <v>-0.54792510950937867</v>
      </c>
      <c r="AG89" s="59"/>
    </row>
    <row r="90" spans="2:33" x14ac:dyDescent="0.35">
      <c r="B90">
        <v>622</v>
      </c>
      <c r="C90" s="17">
        <v>6</v>
      </c>
      <c r="D90" s="22" t="s">
        <v>94</v>
      </c>
      <c r="E90" s="90">
        <v>122.59818725735381</v>
      </c>
      <c r="F90" s="90">
        <f>INDEX('Revised 2019 Lockdown'!H$5:H$257,MATCH(B90,'Revised 2019 Lockdown'!B$5:B$257,0))</f>
        <v>122.59818725735381</v>
      </c>
      <c r="G90" s="90">
        <f t="shared" si="2"/>
        <v>0</v>
      </c>
      <c r="H90" s="5">
        <v>83536.710000000006</v>
      </c>
      <c r="I90" s="5">
        <f>INDEX('Revised 2019 Lockdown'!E$5:E$257,MATCH(B90,'Revised 2019 Lockdown'!B$5:B$257,0))</f>
        <v>83536.710000000006</v>
      </c>
      <c r="J90" s="5">
        <f t="shared" si="3"/>
        <v>0</v>
      </c>
      <c r="K90" s="5">
        <v>396</v>
      </c>
      <c r="L90" s="5">
        <f>INDEX('Revised 2019 Lockdown'!F$5:F$257,MATCH(B90,'Revised 2019 Lockdown'!B$5:B$257,0))</f>
        <v>396</v>
      </c>
      <c r="M90" s="5">
        <f t="shared" si="4"/>
        <v>0</v>
      </c>
      <c r="N90" s="5">
        <v>83140.710000000006</v>
      </c>
      <c r="O90" s="60">
        <f>INDEX('Revised 2019 Lockdown'!G$5:G$257,MATCH(B90,'Revised 2019 Lockdown'!B$5:B$257,0))</f>
        <v>83140.710000000006</v>
      </c>
      <c r="P90" s="5">
        <f t="shared" si="5"/>
        <v>0</v>
      </c>
      <c r="Q90" s="58">
        <f t="shared" si="14"/>
        <v>678.15611192907727</v>
      </c>
      <c r="R90" s="6">
        <f t="shared" ref="R90:R153" si="17">MIN(Q90,INDEX($V$3:$V$11,MATCH(C90,$S$3:$S$11,0)))</f>
        <v>678.15611192907727</v>
      </c>
      <c r="S90" s="5">
        <f t="shared" si="15"/>
        <v>83140.710000000006</v>
      </c>
      <c r="T90" s="82">
        <v>0.33333333333333337</v>
      </c>
      <c r="U90" s="60">
        <f t="shared" ref="U90:U153" si="18">$E$14*(S90/$S$24)</f>
        <v>19174.012027327492</v>
      </c>
      <c r="V90" s="60">
        <f t="shared" ref="V90:V153" si="19">$E$15*(F90/$F$24)</f>
        <v>8763.5225496068397</v>
      </c>
      <c r="W90" s="60">
        <f t="shared" ref="W90:W153" si="20">IFERROR(T90*$E$16*(S90/$S$24),0)</f>
        <v>1917.4012027327494</v>
      </c>
      <c r="X90" s="60">
        <f t="shared" ref="X90:X153" si="21">($W$23+$E$9)*(S90/$S$24)</f>
        <v>1006.6145253492874</v>
      </c>
      <c r="Y90" s="60">
        <f t="shared" ref="Y90:Y153" si="22">U90+V90+W90+X90</f>
        <v>30861.550305016368</v>
      </c>
      <c r="Z90" s="63">
        <f t="shared" ref="Z90:Z153" si="23">IFERROR((Y90/S90),0)</f>
        <v>0.37119661721696107</v>
      </c>
      <c r="AA90" s="59">
        <f t="shared" ref="AA90:AA153" si="24">IF(Z90&gt;$Z$19,$Z$19*S90,Y90+($Z$23*Y90/$Z$22))</f>
        <v>30862.51759590298</v>
      </c>
      <c r="AB90" s="60"/>
      <c r="AC90" s="59">
        <v>30940.016903535252</v>
      </c>
      <c r="AD90" s="106">
        <f t="shared" si="12"/>
        <v>-77.499307632271666</v>
      </c>
      <c r="AE90" s="106">
        <v>-77.147100458263594</v>
      </c>
      <c r="AF90" s="106">
        <f t="shared" si="13"/>
        <v>-0.35220717400807189</v>
      </c>
      <c r="AG90" s="59"/>
    </row>
    <row r="91" spans="2:33" x14ac:dyDescent="0.35">
      <c r="B91">
        <v>623</v>
      </c>
      <c r="C91" s="17">
        <v>6</v>
      </c>
      <c r="D91" s="22" t="s">
        <v>95</v>
      </c>
      <c r="E91" s="90">
        <v>230.09002718232705</v>
      </c>
      <c r="F91" s="90">
        <f>INDEX('Revised 2019 Lockdown'!H$5:H$257,MATCH(B91,'Revised 2019 Lockdown'!B$5:B$257,0))</f>
        <v>230.09002718232705</v>
      </c>
      <c r="G91" s="90">
        <f t="shared" ref="G91:G154" si="25">F91-E91</f>
        <v>0</v>
      </c>
      <c r="H91" s="5">
        <v>79811.240000000005</v>
      </c>
      <c r="I91" s="5">
        <f>INDEX('Revised 2019 Lockdown'!E$5:E$257,MATCH(B91,'Revised 2019 Lockdown'!B$5:B$257,0))</f>
        <v>79811.240000000005</v>
      </c>
      <c r="J91" s="5">
        <f t="shared" ref="J91:J154" si="26">I91-H91</f>
        <v>0</v>
      </c>
      <c r="K91" s="5">
        <v>0</v>
      </c>
      <c r="L91" s="5">
        <f>INDEX('Revised 2019 Lockdown'!F$5:F$257,MATCH(B91,'Revised 2019 Lockdown'!B$5:B$257,0))</f>
        <v>0</v>
      </c>
      <c r="M91" s="5">
        <f t="shared" ref="M91:M154" si="27">L91-K91</f>
        <v>0</v>
      </c>
      <c r="N91" s="5">
        <v>79811.240000000005</v>
      </c>
      <c r="O91" s="60">
        <f>INDEX('Revised 2019 Lockdown'!G$5:G$257,MATCH(B91,'Revised 2019 Lockdown'!B$5:B$257,0))</f>
        <v>79811.240000000005</v>
      </c>
      <c r="P91" s="5">
        <f t="shared" ref="P91:P154" si="28">O91-N91</f>
        <v>0</v>
      </c>
      <c r="Q91" s="58">
        <f t="shared" ref="Q91:Q154" si="29">IFERROR(O91/F91,"n.a.")</f>
        <v>346.86961871996431</v>
      </c>
      <c r="R91" s="6">
        <f t="shared" si="17"/>
        <v>346.86961871996431</v>
      </c>
      <c r="S91" s="5">
        <f t="shared" ref="S91:S154" si="30">F91*R91</f>
        <v>79811.240000000005</v>
      </c>
      <c r="T91" s="82">
        <v>0.31944444444444442</v>
      </c>
      <c r="U91" s="60">
        <f t="shared" si="18"/>
        <v>18406.165591753077</v>
      </c>
      <c r="V91" s="60">
        <f t="shared" si="19"/>
        <v>16447.218240015405</v>
      </c>
      <c r="W91" s="60">
        <f t="shared" si="20"/>
        <v>1763.9242025430028</v>
      </c>
      <c r="X91" s="60">
        <f t="shared" si="21"/>
        <v>966.30343270027458</v>
      </c>
      <c r="Y91" s="60">
        <f t="shared" si="22"/>
        <v>37583.61146701176</v>
      </c>
      <c r="Z91" s="63">
        <f t="shared" si="23"/>
        <v>0.47090624662656233</v>
      </c>
      <c r="AA91" s="59">
        <f t="shared" si="24"/>
        <v>37584.789446876632</v>
      </c>
      <c r="AB91" s="60"/>
      <c r="AC91" s="59">
        <v>37669.326953622724</v>
      </c>
      <c r="AD91" s="106">
        <f t="shared" ref="AD91:AD154" si="31">AA91-AC91</f>
        <v>-84.537506746091822</v>
      </c>
      <c r="AE91" s="106">
        <v>-84.200649254577002</v>
      </c>
      <c r="AF91" s="106">
        <f t="shared" ref="AF91:AF154" si="32">AD91-AE91</f>
        <v>-0.33685749151482014</v>
      </c>
      <c r="AG91" s="59"/>
    </row>
    <row r="92" spans="2:33" x14ac:dyDescent="0.35">
      <c r="B92">
        <v>626</v>
      </c>
      <c r="C92" s="17">
        <v>6</v>
      </c>
      <c r="D92" s="22" t="s">
        <v>96</v>
      </c>
      <c r="E92" s="90">
        <v>21.510599845182803</v>
      </c>
      <c r="F92" s="90">
        <f>INDEX('Revised 2019 Lockdown'!H$5:H$257,MATCH(B92,'Revised 2019 Lockdown'!B$5:B$257,0))</f>
        <v>21.510599845182803</v>
      </c>
      <c r="G92" s="90">
        <f t="shared" si="25"/>
        <v>0</v>
      </c>
      <c r="H92" s="5">
        <v>17900.14</v>
      </c>
      <c r="I92" s="5">
        <f>INDEX('Revised 2019 Lockdown'!E$5:E$257,MATCH(B92,'Revised 2019 Lockdown'!B$5:B$257,0))</f>
        <v>17900.14</v>
      </c>
      <c r="J92" s="5">
        <f t="shared" si="26"/>
        <v>0</v>
      </c>
      <c r="K92" s="5">
        <v>0</v>
      </c>
      <c r="L92" s="5">
        <f>INDEX('Revised 2019 Lockdown'!F$5:F$257,MATCH(B92,'Revised 2019 Lockdown'!B$5:B$257,0))</f>
        <v>0</v>
      </c>
      <c r="M92" s="5">
        <f t="shared" si="27"/>
        <v>0</v>
      </c>
      <c r="N92" s="5">
        <v>17900.14</v>
      </c>
      <c r="O92" s="60">
        <f>INDEX('Revised 2019 Lockdown'!G$5:G$257,MATCH(B92,'Revised 2019 Lockdown'!B$5:B$257,0))</f>
        <v>17900.14</v>
      </c>
      <c r="P92" s="5">
        <f t="shared" si="28"/>
        <v>0</v>
      </c>
      <c r="Q92" s="58">
        <f t="shared" si="29"/>
        <v>832.15438569039497</v>
      </c>
      <c r="R92" s="6">
        <f t="shared" si="17"/>
        <v>832.15438569039497</v>
      </c>
      <c r="S92" s="5">
        <f t="shared" si="30"/>
        <v>17900.14</v>
      </c>
      <c r="T92" s="82">
        <v>0.22222222222222221</v>
      </c>
      <c r="U92" s="60">
        <f t="shared" si="18"/>
        <v>4128.152136911579</v>
      </c>
      <c r="V92" s="60">
        <f t="shared" si="19"/>
        <v>1537.6134918138569</v>
      </c>
      <c r="W92" s="60">
        <f t="shared" si="20"/>
        <v>275.21014246077192</v>
      </c>
      <c r="X92" s="60">
        <f t="shared" si="21"/>
        <v>216.72344306159752</v>
      </c>
      <c r="Y92" s="60">
        <f t="shared" si="22"/>
        <v>6157.6992142478048</v>
      </c>
      <c r="Z92" s="63">
        <f t="shared" si="23"/>
        <v>0.34400285217030735</v>
      </c>
      <c r="AA92" s="59">
        <f t="shared" si="24"/>
        <v>6157.8922144786284</v>
      </c>
      <c r="AB92" s="60"/>
      <c r="AC92" s="59">
        <v>6173.7194255025543</v>
      </c>
      <c r="AD92" s="106">
        <f t="shared" si="31"/>
        <v>-15.827211023925884</v>
      </c>
      <c r="AE92" s="106">
        <v>-15.753560518721315</v>
      </c>
      <c r="AF92" s="106">
        <f t="shared" si="32"/>
        <v>-7.3650505204568617E-2</v>
      </c>
      <c r="AG92" s="59"/>
    </row>
    <row r="93" spans="2:33" x14ac:dyDescent="0.35">
      <c r="B93">
        <v>627</v>
      </c>
      <c r="C93" s="17">
        <v>6</v>
      </c>
      <c r="D93" s="22" t="s">
        <v>97</v>
      </c>
      <c r="E93" s="90">
        <v>166.68530619268788</v>
      </c>
      <c r="F93" s="90">
        <f>INDEX('Revised 2019 Lockdown'!H$5:H$257,MATCH(B93,'Revised 2019 Lockdown'!B$5:B$257,0))</f>
        <v>166.68530619268788</v>
      </c>
      <c r="G93" s="90">
        <f t="shared" si="25"/>
        <v>0</v>
      </c>
      <c r="H93" s="5">
        <v>81020.789999999994</v>
      </c>
      <c r="I93" s="5">
        <f>INDEX('Revised 2019 Lockdown'!E$5:E$257,MATCH(B93,'Revised 2019 Lockdown'!B$5:B$257,0))</f>
        <v>81020.789999999994</v>
      </c>
      <c r="J93" s="5">
        <f t="shared" si="26"/>
        <v>0</v>
      </c>
      <c r="K93" s="5">
        <v>0</v>
      </c>
      <c r="L93" s="5">
        <f>INDEX('Revised 2019 Lockdown'!F$5:F$257,MATCH(B93,'Revised 2019 Lockdown'!B$5:B$257,0))</f>
        <v>0</v>
      </c>
      <c r="M93" s="5">
        <f t="shared" si="27"/>
        <v>0</v>
      </c>
      <c r="N93" s="5">
        <v>81020.789999999994</v>
      </c>
      <c r="O93" s="60">
        <f>INDEX('Revised 2019 Lockdown'!G$5:G$257,MATCH(B93,'Revised 2019 Lockdown'!B$5:B$257,0))</f>
        <v>81020.789999999994</v>
      </c>
      <c r="P93" s="5">
        <f t="shared" si="28"/>
        <v>0</v>
      </c>
      <c r="Q93" s="58">
        <f t="shared" si="29"/>
        <v>486.07037927110457</v>
      </c>
      <c r="R93" s="6">
        <f t="shared" si="17"/>
        <v>486.07037927110457</v>
      </c>
      <c r="S93" s="5">
        <f t="shared" si="30"/>
        <v>81020.789999999994</v>
      </c>
      <c r="T93" s="82">
        <v>0.34722222222222221</v>
      </c>
      <c r="U93" s="60">
        <f t="shared" si="18"/>
        <v>18685.113489210937</v>
      </c>
      <c r="V93" s="60">
        <f t="shared" si="19"/>
        <v>11914.943215607134</v>
      </c>
      <c r="W93" s="60">
        <f t="shared" si="20"/>
        <v>1946.3659884594726</v>
      </c>
      <c r="X93" s="60">
        <f t="shared" si="21"/>
        <v>980.94789026067099</v>
      </c>
      <c r="Y93" s="60">
        <f t="shared" si="22"/>
        <v>33527.370583538213</v>
      </c>
      <c r="Z93" s="63">
        <f t="shared" si="23"/>
        <v>0.4138119436201278</v>
      </c>
      <c r="AA93" s="59">
        <f t="shared" si="24"/>
        <v>33528.421428997921</v>
      </c>
      <c r="AB93" s="60"/>
      <c r="AC93" s="59">
        <v>33608.530739902722</v>
      </c>
      <c r="AD93" s="106">
        <f t="shared" si="31"/>
        <v>-80.109310904801532</v>
      </c>
      <c r="AE93" s="106">
        <v>-79.76486294271308</v>
      </c>
      <c r="AF93" s="106">
        <f t="shared" si="32"/>
        <v>-0.34444796208845219</v>
      </c>
      <c r="AG93" s="59"/>
    </row>
    <row r="94" spans="2:33" x14ac:dyDescent="0.35">
      <c r="B94">
        <v>634</v>
      </c>
      <c r="C94" s="17">
        <v>6</v>
      </c>
      <c r="D94" s="22" t="s">
        <v>98</v>
      </c>
      <c r="E94" s="90">
        <v>627.63252780769471</v>
      </c>
      <c r="F94" s="90">
        <f>INDEX('Revised 2019 Lockdown'!H$5:H$257,MATCH(B94,'Revised 2019 Lockdown'!B$5:B$257,0))</f>
        <v>627.63252780769471</v>
      </c>
      <c r="G94" s="90">
        <f t="shared" si="25"/>
        <v>0</v>
      </c>
      <c r="H94" s="5">
        <v>651840.68999999994</v>
      </c>
      <c r="I94" s="5">
        <f>INDEX('Revised 2019 Lockdown'!E$5:E$257,MATCH(B94,'Revised 2019 Lockdown'!B$5:B$257,0))</f>
        <v>651840.68999999994</v>
      </c>
      <c r="J94" s="5">
        <f t="shared" si="26"/>
        <v>0</v>
      </c>
      <c r="K94" s="5">
        <v>0</v>
      </c>
      <c r="L94" s="5">
        <f>INDEX('Revised 2019 Lockdown'!F$5:F$257,MATCH(B94,'Revised 2019 Lockdown'!B$5:B$257,0))</f>
        <v>0</v>
      </c>
      <c r="M94" s="5">
        <f t="shared" si="27"/>
        <v>0</v>
      </c>
      <c r="N94" s="5">
        <v>651840.68999999994</v>
      </c>
      <c r="O94" s="60">
        <f>INDEX('Revised 2019 Lockdown'!G$5:G$257,MATCH(B94,'Revised 2019 Lockdown'!B$5:B$257,0))</f>
        <v>651840.68999999994</v>
      </c>
      <c r="P94" s="5">
        <f t="shared" si="28"/>
        <v>0</v>
      </c>
      <c r="Q94" s="58">
        <f t="shared" si="29"/>
        <v>1038.5705984310018</v>
      </c>
      <c r="R94" s="6">
        <f t="shared" si="17"/>
        <v>1038.5705984310018</v>
      </c>
      <c r="S94" s="5">
        <f t="shared" si="30"/>
        <v>651840.68999999994</v>
      </c>
      <c r="T94" s="82">
        <v>0.78703703703703698</v>
      </c>
      <c r="U94" s="60">
        <f t="shared" si="18"/>
        <v>150328.29560826998</v>
      </c>
      <c r="V94" s="60">
        <f t="shared" si="19"/>
        <v>44864.218088017049</v>
      </c>
      <c r="W94" s="60">
        <f t="shared" si="20"/>
        <v>35494.180907508184</v>
      </c>
      <c r="X94" s="60">
        <f t="shared" si="21"/>
        <v>7892.0700432760532</v>
      </c>
      <c r="Y94" s="60">
        <f t="shared" si="22"/>
        <v>238578.76464707128</v>
      </c>
      <c r="Z94" s="63">
        <f t="shared" si="23"/>
        <v>0.36600778120658789</v>
      </c>
      <c r="AA94" s="59">
        <f t="shared" si="24"/>
        <v>238586.24240053803</v>
      </c>
      <c r="AB94" s="60"/>
      <c r="AC94" s="59">
        <v>239223.7095436948</v>
      </c>
      <c r="AD94" s="106">
        <f t="shared" si="31"/>
        <v>-637.46714315676945</v>
      </c>
      <c r="AE94" s="106">
        <v>-634.35980473645031</v>
      </c>
      <c r="AF94" s="106">
        <f t="shared" si="32"/>
        <v>-3.1073384203191381</v>
      </c>
      <c r="AG94" s="59"/>
    </row>
    <row r="95" spans="2:33" x14ac:dyDescent="0.35">
      <c r="B95">
        <v>636</v>
      </c>
      <c r="C95" s="17">
        <v>6</v>
      </c>
      <c r="D95" s="22" t="s">
        <v>346</v>
      </c>
      <c r="E95" s="90">
        <v>71.040896564249138</v>
      </c>
      <c r="F95" s="90">
        <f>INDEX('Revised 2019 Lockdown'!H$5:H$257,MATCH(B95,'Revised 2019 Lockdown'!B$5:B$257,0))</f>
        <v>71.040896564249138</v>
      </c>
      <c r="G95" s="90">
        <f t="shared" si="25"/>
        <v>0</v>
      </c>
      <c r="H95" s="5">
        <v>82605.94</v>
      </c>
      <c r="I95" s="5">
        <f>INDEX('Revised 2019 Lockdown'!E$5:E$257,MATCH(B95,'Revised 2019 Lockdown'!B$5:B$257,0))</f>
        <v>82605.94</v>
      </c>
      <c r="J95" s="5">
        <f t="shared" si="26"/>
        <v>0</v>
      </c>
      <c r="K95" s="5">
        <v>76356</v>
      </c>
      <c r="L95" s="5">
        <f>INDEX('Revised 2019 Lockdown'!F$5:F$257,MATCH(B95,'Revised 2019 Lockdown'!B$5:B$257,0))</f>
        <v>76356</v>
      </c>
      <c r="M95" s="5">
        <f t="shared" si="27"/>
        <v>0</v>
      </c>
      <c r="N95" s="5">
        <v>6249.9400000000023</v>
      </c>
      <c r="O95" s="60">
        <f>INDEX('Revised 2019 Lockdown'!G$5:G$257,MATCH(B95,'Revised 2019 Lockdown'!B$5:B$257,0))</f>
        <v>6249.9400000000023</v>
      </c>
      <c r="P95" s="5">
        <f t="shared" si="28"/>
        <v>0</v>
      </c>
      <c r="Q95" s="58">
        <f t="shared" si="29"/>
        <v>87.976648694848308</v>
      </c>
      <c r="R95" s="6">
        <f t="shared" si="17"/>
        <v>87.976648694848308</v>
      </c>
      <c r="S95" s="5">
        <f t="shared" si="30"/>
        <v>6249.9400000000023</v>
      </c>
      <c r="T95" s="82">
        <v>0.47222222222222215</v>
      </c>
      <c r="U95" s="60">
        <f t="shared" si="18"/>
        <v>1441.3687918959945</v>
      </c>
      <c r="V95" s="60">
        <f t="shared" si="19"/>
        <v>5078.1215686183878</v>
      </c>
      <c r="W95" s="60">
        <f t="shared" si="20"/>
        <v>204.19391218526584</v>
      </c>
      <c r="X95" s="60">
        <f t="shared" si="21"/>
        <v>75.670274965916533</v>
      </c>
      <c r="Y95" s="60">
        <f t="shared" si="22"/>
        <v>6799.3545476655645</v>
      </c>
      <c r="Z95" s="63">
        <f t="shared" si="23"/>
        <v>1.0879071715353366</v>
      </c>
      <c r="AA95" s="59">
        <f t="shared" si="24"/>
        <v>4687.4550000000017</v>
      </c>
      <c r="AB95" s="60"/>
      <c r="AC95" s="59">
        <v>4687.4550000000017</v>
      </c>
      <c r="AD95" s="106">
        <f t="shared" si="31"/>
        <v>0</v>
      </c>
      <c r="AE95" s="106">
        <v>0</v>
      </c>
      <c r="AF95" s="106">
        <f t="shared" si="32"/>
        <v>0</v>
      </c>
      <c r="AG95" s="59"/>
    </row>
    <row r="96" spans="2:33" x14ac:dyDescent="0.35">
      <c r="B96">
        <v>641</v>
      </c>
      <c r="C96" s="17">
        <v>6</v>
      </c>
      <c r="D96" s="22" t="s">
        <v>100</v>
      </c>
      <c r="E96" s="90">
        <v>7.6885978325592479</v>
      </c>
      <c r="F96" s="90">
        <f>INDEX('Revised 2019 Lockdown'!H$5:H$257,MATCH(B96,'Revised 2019 Lockdown'!B$5:B$257,0))</f>
        <v>7.6885978325592479</v>
      </c>
      <c r="G96" s="90">
        <f t="shared" si="25"/>
        <v>0</v>
      </c>
      <c r="H96" s="5">
        <v>28951.200000000001</v>
      </c>
      <c r="I96" s="5">
        <f>INDEX('Revised 2019 Lockdown'!E$5:E$257,MATCH(B96,'Revised 2019 Lockdown'!B$5:B$257,0))</f>
        <v>28951.200000000001</v>
      </c>
      <c r="J96" s="5">
        <f t="shared" si="26"/>
        <v>0</v>
      </c>
      <c r="K96" s="5">
        <v>0</v>
      </c>
      <c r="L96" s="5">
        <f>INDEX('Revised 2019 Lockdown'!F$5:F$257,MATCH(B96,'Revised 2019 Lockdown'!B$5:B$257,0))</f>
        <v>0</v>
      </c>
      <c r="M96" s="5">
        <f t="shared" si="27"/>
        <v>0</v>
      </c>
      <c r="N96" s="5">
        <v>28951.200000000001</v>
      </c>
      <c r="O96" s="60">
        <f>INDEX('Revised 2019 Lockdown'!G$5:G$257,MATCH(B96,'Revised 2019 Lockdown'!B$5:B$257,0))</f>
        <v>28951.200000000001</v>
      </c>
      <c r="P96" s="5">
        <f t="shared" si="28"/>
        <v>0</v>
      </c>
      <c r="Q96" s="58">
        <f t="shared" si="29"/>
        <v>3765.4720184997923</v>
      </c>
      <c r="R96" s="6">
        <f t="shared" si="17"/>
        <v>1517.4271794836054</v>
      </c>
      <c r="S96" s="5">
        <f t="shared" si="30"/>
        <v>11666.887323244142</v>
      </c>
      <c r="T96" s="82">
        <v>8.3333333333333329E-2</v>
      </c>
      <c r="U96" s="60">
        <f t="shared" si="18"/>
        <v>2690.6317958718155</v>
      </c>
      <c r="V96" s="60">
        <f t="shared" si="19"/>
        <v>549.59377449073691</v>
      </c>
      <c r="W96" s="60">
        <f t="shared" si="20"/>
        <v>67.26579489679537</v>
      </c>
      <c r="X96" s="60">
        <f t="shared" si="21"/>
        <v>141.25520752939227</v>
      </c>
      <c r="Y96" s="60">
        <f t="shared" si="22"/>
        <v>3448.7465727887402</v>
      </c>
      <c r="Z96" s="63">
        <f t="shared" si="23"/>
        <v>0.29560125826515377</v>
      </c>
      <c r="AA96" s="59">
        <f t="shared" si="24"/>
        <v>3448.8546665525701</v>
      </c>
      <c r="AB96" s="60"/>
      <c r="AC96" s="59">
        <v>3467.903169842868</v>
      </c>
      <c r="AD96" s="106">
        <f t="shared" si="31"/>
        <v>-19.048503290297958</v>
      </c>
      <c r="AE96" s="106">
        <v>-19.003353412811975</v>
      </c>
      <c r="AF96" s="106">
        <f t="shared" si="32"/>
        <v>-4.514987748598287E-2</v>
      </c>
      <c r="AG96" s="59"/>
    </row>
    <row r="97" spans="2:33" x14ac:dyDescent="0.35">
      <c r="B97">
        <v>694</v>
      </c>
      <c r="C97" s="17">
        <v>6</v>
      </c>
      <c r="D97" s="22" t="s">
        <v>103</v>
      </c>
      <c r="E97" s="90">
        <v>13.652301912467729</v>
      </c>
      <c r="F97" s="90">
        <f>INDEX('Revised 2019 Lockdown'!H$5:H$257,MATCH(B97,'Revised 2019 Lockdown'!B$5:B$257,0))</f>
        <v>13.652301912467729</v>
      </c>
      <c r="G97" s="90">
        <f t="shared" si="25"/>
        <v>0</v>
      </c>
      <c r="H97" s="5">
        <v>89610.08</v>
      </c>
      <c r="I97" s="5">
        <f>INDEX('Revised 2019 Lockdown'!E$5:E$257,MATCH(B97,'Revised 2019 Lockdown'!B$5:B$257,0))</f>
        <v>89610.08</v>
      </c>
      <c r="J97" s="5">
        <f t="shared" si="26"/>
        <v>0</v>
      </c>
      <c r="K97" s="5">
        <v>0</v>
      </c>
      <c r="L97" s="5">
        <f>INDEX('Revised 2019 Lockdown'!F$5:F$257,MATCH(B97,'Revised 2019 Lockdown'!B$5:B$257,0))</f>
        <v>0</v>
      </c>
      <c r="M97" s="5">
        <f t="shared" si="27"/>
        <v>0</v>
      </c>
      <c r="N97" s="5">
        <v>89610.08</v>
      </c>
      <c r="O97" s="60">
        <f>INDEX('Revised 2019 Lockdown'!G$5:G$257,MATCH(B97,'Revised 2019 Lockdown'!B$5:B$257,0))</f>
        <v>89610.08</v>
      </c>
      <c r="P97" s="5">
        <f t="shared" si="28"/>
        <v>0</v>
      </c>
      <c r="Q97" s="58">
        <f t="shared" si="29"/>
        <v>6563.7341288332582</v>
      </c>
      <c r="R97" s="6">
        <f t="shared" si="17"/>
        <v>1517.4271794836054</v>
      </c>
      <c r="S97" s="5">
        <f t="shared" si="30"/>
        <v>20716.373984494538</v>
      </c>
      <c r="T97" s="82">
        <v>0.72916666666666674</v>
      </c>
      <c r="U97" s="60">
        <f t="shared" si="18"/>
        <v>4777.6354560998161</v>
      </c>
      <c r="V97" s="60">
        <f t="shared" si="19"/>
        <v>975.88927161543347</v>
      </c>
      <c r="W97" s="60">
        <f t="shared" si="20"/>
        <v>1045.107756021835</v>
      </c>
      <c r="X97" s="60">
        <f t="shared" si="21"/>
        <v>250.82060239033672</v>
      </c>
      <c r="Y97" s="60">
        <f t="shared" si="22"/>
        <v>7049.4530861274216</v>
      </c>
      <c r="Z97" s="63">
        <f t="shared" si="23"/>
        <v>0.34028411976939998</v>
      </c>
      <c r="AA97" s="59">
        <f t="shared" si="24"/>
        <v>7049.6740365222795</v>
      </c>
      <c r="AB97" s="60"/>
      <c r="AC97" s="59">
        <v>7089.3210838575205</v>
      </c>
      <c r="AD97" s="106">
        <f t="shared" si="31"/>
        <v>-39.647047335241041</v>
      </c>
      <c r="AE97" s="106">
        <v>-39.549156972188939</v>
      </c>
      <c r="AF97" s="106">
        <f t="shared" si="32"/>
        <v>-9.7890363052101748E-2</v>
      </c>
      <c r="AG97" s="59"/>
    </row>
    <row r="98" spans="2:33" x14ac:dyDescent="0.35">
      <c r="B98">
        <v>706</v>
      </c>
      <c r="C98" s="17">
        <v>6</v>
      </c>
      <c r="D98" s="22" t="s">
        <v>104</v>
      </c>
      <c r="E98" s="90">
        <v>56.018113935987294</v>
      </c>
      <c r="F98" s="90">
        <f>INDEX('Revised 2019 Lockdown'!H$5:H$257,MATCH(B98,'Revised 2019 Lockdown'!B$5:B$257,0))</f>
        <v>56.018113935987294</v>
      </c>
      <c r="G98" s="90">
        <f t="shared" si="25"/>
        <v>0</v>
      </c>
      <c r="H98" s="5">
        <v>63477.03</v>
      </c>
      <c r="I98" s="5">
        <f>INDEX('Revised 2019 Lockdown'!E$5:E$257,MATCH(B98,'Revised 2019 Lockdown'!B$5:B$257,0))</f>
        <v>63477.03</v>
      </c>
      <c r="J98" s="5">
        <f t="shared" si="26"/>
        <v>0</v>
      </c>
      <c r="K98" s="5">
        <v>0</v>
      </c>
      <c r="L98" s="5">
        <f>INDEX('Revised 2019 Lockdown'!F$5:F$257,MATCH(B98,'Revised 2019 Lockdown'!B$5:B$257,0))</f>
        <v>0</v>
      </c>
      <c r="M98" s="5">
        <f t="shared" si="27"/>
        <v>0</v>
      </c>
      <c r="N98" s="5">
        <v>63477.03</v>
      </c>
      <c r="O98" s="60">
        <f>INDEX('Revised 2019 Lockdown'!G$5:G$257,MATCH(B98,'Revised 2019 Lockdown'!B$5:B$257,0))</f>
        <v>63477.03</v>
      </c>
      <c r="P98" s="5">
        <f t="shared" si="28"/>
        <v>0</v>
      </c>
      <c r="Q98" s="58">
        <f t="shared" si="29"/>
        <v>1133.1518599954313</v>
      </c>
      <c r="R98" s="6">
        <f t="shared" si="17"/>
        <v>1133.1518599954313</v>
      </c>
      <c r="S98" s="5">
        <f t="shared" si="30"/>
        <v>63477.029999999992</v>
      </c>
      <c r="T98" s="82">
        <v>0.375</v>
      </c>
      <c r="U98" s="60">
        <f t="shared" si="18"/>
        <v>14639.150142920691</v>
      </c>
      <c r="V98" s="60">
        <f t="shared" si="19"/>
        <v>4004.2680536047092</v>
      </c>
      <c r="W98" s="60">
        <f t="shared" si="20"/>
        <v>1646.9043910785776</v>
      </c>
      <c r="X98" s="60">
        <f t="shared" si="21"/>
        <v>768.53926823613199</v>
      </c>
      <c r="Y98" s="60">
        <f t="shared" si="22"/>
        <v>21058.861855840107</v>
      </c>
      <c r="Z98" s="63">
        <f t="shared" si="23"/>
        <v>0.3317556264973347</v>
      </c>
      <c r="AA98" s="59">
        <f t="shared" si="24"/>
        <v>21059.521901915377</v>
      </c>
      <c r="AB98" s="60"/>
      <c r="AC98" s="59">
        <v>21115.76684690348</v>
      </c>
      <c r="AD98" s="106">
        <f t="shared" si="31"/>
        <v>-56.244944988102361</v>
      </c>
      <c r="AE98" s="106">
        <v>-55.971200704789226</v>
      </c>
      <c r="AF98" s="106">
        <f t="shared" si="32"/>
        <v>-0.27374428331313538</v>
      </c>
      <c r="AG98" s="59"/>
    </row>
    <row r="99" spans="2:33" x14ac:dyDescent="0.35">
      <c r="B99">
        <v>710</v>
      </c>
      <c r="C99" s="17">
        <v>6</v>
      </c>
      <c r="D99" s="22" t="s">
        <v>105</v>
      </c>
      <c r="E99" s="90">
        <v>69.210000000000008</v>
      </c>
      <c r="F99" s="90">
        <f>INDEX('Revised 2019 Lockdown'!H$5:H$257,MATCH(B99,'Revised 2019 Lockdown'!B$5:B$257,0))</f>
        <v>69.210000000000008</v>
      </c>
      <c r="G99" s="90">
        <f t="shared" si="25"/>
        <v>0</v>
      </c>
      <c r="H99" s="5">
        <v>68111.539999999994</v>
      </c>
      <c r="I99" s="5">
        <f>INDEX('Revised 2019 Lockdown'!E$5:E$257,MATCH(B99,'Revised 2019 Lockdown'!B$5:B$257,0))</f>
        <v>68111.539999999994</v>
      </c>
      <c r="J99" s="5">
        <f t="shared" si="26"/>
        <v>0</v>
      </c>
      <c r="K99" s="5">
        <v>0</v>
      </c>
      <c r="L99" s="5">
        <f>INDEX('Revised 2019 Lockdown'!F$5:F$257,MATCH(B99,'Revised 2019 Lockdown'!B$5:B$257,0))</f>
        <v>0</v>
      </c>
      <c r="M99" s="5">
        <f t="shared" si="27"/>
        <v>0</v>
      </c>
      <c r="N99" s="5">
        <v>68111.539999999994</v>
      </c>
      <c r="O99" s="60">
        <f>INDEX('Revised 2019 Lockdown'!G$5:G$257,MATCH(B99,'Revised 2019 Lockdown'!B$5:B$257,0))</f>
        <v>68111.539999999994</v>
      </c>
      <c r="P99" s="5">
        <f t="shared" si="28"/>
        <v>0</v>
      </c>
      <c r="Q99" s="58">
        <f t="shared" si="29"/>
        <v>984.12859413379545</v>
      </c>
      <c r="R99" s="6">
        <f t="shared" si="17"/>
        <v>984.12859413379545</v>
      </c>
      <c r="S99" s="5">
        <f t="shared" si="30"/>
        <v>68111.539999999994</v>
      </c>
      <c r="T99" s="82">
        <v>0.20138888888888887</v>
      </c>
      <c r="U99" s="60">
        <f t="shared" si="18"/>
        <v>15707.96649631447</v>
      </c>
      <c r="V99" s="60">
        <f t="shared" si="19"/>
        <v>4947.2460337859384</v>
      </c>
      <c r="W99" s="60">
        <f t="shared" si="20"/>
        <v>949.02297581899904</v>
      </c>
      <c r="X99" s="60">
        <f t="shared" si="21"/>
        <v>824.65095027344591</v>
      </c>
      <c r="Y99" s="60">
        <f t="shared" si="22"/>
        <v>22428.886456192853</v>
      </c>
      <c r="Z99" s="63">
        <f t="shared" si="23"/>
        <v>0.32929642254738117</v>
      </c>
      <c r="AA99" s="59">
        <f t="shared" si="24"/>
        <v>22429.589442829994</v>
      </c>
      <c r="AB99" s="60"/>
      <c r="AC99" s="59">
        <v>22488.356417280247</v>
      </c>
      <c r="AD99" s="106">
        <f t="shared" si="31"/>
        <v>-58.766974450252746</v>
      </c>
      <c r="AE99" s="106">
        <v>-58.488280604633474</v>
      </c>
      <c r="AF99" s="106">
        <f t="shared" si="32"/>
        <v>-0.27869384561927291</v>
      </c>
      <c r="AG99" s="59"/>
    </row>
    <row r="100" spans="2:33" x14ac:dyDescent="0.35">
      <c r="B100">
        <v>743</v>
      </c>
      <c r="C100" s="17">
        <v>6</v>
      </c>
      <c r="D100" s="22" t="s">
        <v>347</v>
      </c>
      <c r="E100" s="90">
        <v>71.128633854585487</v>
      </c>
      <c r="F100" s="90">
        <f>INDEX('Revised 2019 Lockdown'!H$5:H$257,MATCH(B100,'Revised 2019 Lockdown'!B$5:B$257,0))</f>
        <v>71.128633854585487</v>
      </c>
      <c r="G100" s="90">
        <f t="shared" si="25"/>
        <v>0</v>
      </c>
      <c r="H100" s="5">
        <v>137831.6</v>
      </c>
      <c r="I100" s="5">
        <f>INDEX('Revised 2019 Lockdown'!E$5:E$257,MATCH(B100,'Revised 2019 Lockdown'!B$5:B$257,0))</f>
        <v>137831.6</v>
      </c>
      <c r="J100" s="5">
        <f t="shared" si="26"/>
        <v>0</v>
      </c>
      <c r="K100" s="5">
        <v>0</v>
      </c>
      <c r="L100" s="5">
        <f>INDEX('Revised 2019 Lockdown'!F$5:F$257,MATCH(B100,'Revised 2019 Lockdown'!B$5:B$257,0))</f>
        <v>0</v>
      </c>
      <c r="M100" s="5">
        <f t="shared" si="27"/>
        <v>0</v>
      </c>
      <c r="N100" s="5">
        <v>137831.6</v>
      </c>
      <c r="O100" s="60">
        <f>INDEX('Revised 2019 Lockdown'!G$5:G$257,MATCH(B100,'Revised 2019 Lockdown'!B$5:B$257,0))</f>
        <v>137831.6</v>
      </c>
      <c r="P100" s="5">
        <f t="shared" si="28"/>
        <v>0</v>
      </c>
      <c r="Q100" s="58">
        <f t="shared" si="29"/>
        <v>1937.7793798455521</v>
      </c>
      <c r="R100" s="6">
        <f t="shared" si="17"/>
        <v>1517.4271794836054</v>
      </c>
      <c r="S100" s="5">
        <f t="shared" si="30"/>
        <v>107932.52225048575</v>
      </c>
      <c r="T100" s="82">
        <v>0.61342592592592582</v>
      </c>
      <c r="U100" s="60">
        <f t="shared" si="18"/>
        <v>24891.530031083515</v>
      </c>
      <c r="V100" s="60">
        <f t="shared" si="19"/>
        <v>5084.3931762131224</v>
      </c>
      <c r="W100" s="60">
        <f t="shared" si="20"/>
        <v>4580.7329571091186</v>
      </c>
      <c r="X100" s="60">
        <f t="shared" si="21"/>
        <v>1306.7779269015634</v>
      </c>
      <c r="Y100" s="60">
        <f t="shared" si="22"/>
        <v>35863.434091307325</v>
      </c>
      <c r="Z100" s="63">
        <f t="shared" si="23"/>
        <v>0.33227643849623761</v>
      </c>
      <c r="AA100" s="59">
        <f t="shared" si="24"/>
        <v>35864.558155802348</v>
      </c>
      <c r="AB100" s="60"/>
      <c r="AC100" s="59">
        <v>36065.682349062023</v>
      </c>
      <c r="AD100" s="106">
        <f t="shared" si="31"/>
        <v>-201.12419325967494</v>
      </c>
      <c r="AE100" s="106">
        <v>-200.62797522279288</v>
      </c>
      <c r="AF100" s="106">
        <f t="shared" si="32"/>
        <v>-0.49621803688205546</v>
      </c>
      <c r="AG100" s="59"/>
    </row>
    <row r="101" spans="2:33" x14ac:dyDescent="0.35">
      <c r="B101">
        <v>747</v>
      </c>
      <c r="C101" s="17">
        <v>6</v>
      </c>
      <c r="D101" s="22" t="s">
        <v>106</v>
      </c>
      <c r="E101" s="90">
        <v>38</v>
      </c>
      <c r="F101" s="90">
        <f>INDEX('Revised 2019 Lockdown'!H$5:H$257,MATCH(B101,'Revised 2019 Lockdown'!B$5:B$257,0))</f>
        <v>38</v>
      </c>
      <c r="G101" s="90">
        <f t="shared" si="25"/>
        <v>0</v>
      </c>
      <c r="H101" s="5">
        <v>67182.81</v>
      </c>
      <c r="I101" s="5">
        <f>INDEX('Revised 2019 Lockdown'!E$5:E$257,MATCH(B101,'Revised 2019 Lockdown'!B$5:B$257,0))</f>
        <v>67182.81</v>
      </c>
      <c r="J101" s="5">
        <f t="shared" si="26"/>
        <v>0</v>
      </c>
      <c r="K101" s="5">
        <v>0</v>
      </c>
      <c r="L101" s="5">
        <f>INDEX('Revised 2019 Lockdown'!F$5:F$257,MATCH(B101,'Revised 2019 Lockdown'!B$5:B$257,0))</f>
        <v>0</v>
      </c>
      <c r="M101" s="5">
        <f t="shared" si="27"/>
        <v>0</v>
      </c>
      <c r="N101" s="5">
        <v>67182.81</v>
      </c>
      <c r="O101" s="60">
        <f>INDEX('Revised 2019 Lockdown'!G$5:G$257,MATCH(B101,'Revised 2019 Lockdown'!B$5:B$257,0))</f>
        <v>67182.81</v>
      </c>
      <c r="P101" s="5">
        <f t="shared" si="28"/>
        <v>0</v>
      </c>
      <c r="Q101" s="58">
        <f t="shared" si="29"/>
        <v>1767.9686842105264</v>
      </c>
      <c r="R101" s="6">
        <f t="shared" si="17"/>
        <v>1517.4271794836054</v>
      </c>
      <c r="S101" s="5">
        <f t="shared" si="30"/>
        <v>57662.232820377008</v>
      </c>
      <c r="T101" s="82">
        <v>0.29166666666666663</v>
      </c>
      <c r="U101" s="60">
        <f t="shared" si="18"/>
        <v>13298.134519424559</v>
      </c>
      <c r="V101" s="60">
        <f t="shared" si="19"/>
        <v>2716.3032695255838</v>
      </c>
      <c r="W101" s="60">
        <f t="shared" si="20"/>
        <v>1163.5867704496486</v>
      </c>
      <c r="X101" s="60">
        <f t="shared" si="21"/>
        <v>698.1374241459315</v>
      </c>
      <c r="Y101" s="60">
        <f t="shared" si="22"/>
        <v>17876.16198354572</v>
      </c>
      <c r="Z101" s="63">
        <f t="shared" si="23"/>
        <v>0.31001508455684601</v>
      </c>
      <c r="AA101" s="59">
        <f t="shared" si="24"/>
        <v>17876.72227453575</v>
      </c>
      <c r="AB101" s="60"/>
      <c r="AC101" s="59">
        <v>17976.096030987181</v>
      </c>
      <c r="AD101" s="106">
        <f t="shared" si="31"/>
        <v>-99.373756451430381</v>
      </c>
      <c r="AE101" s="106">
        <v>-99.137745933923725</v>
      </c>
      <c r="AF101" s="106">
        <f t="shared" si="32"/>
        <v>-0.23601051750665647</v>
      </c>
      <c r="AG101" s="59"/>
    </row>
    <row r="102" spans="2:33" x14ac:dyDescent="0.35">
      <c r="B102">
        <v>758</v>
      </c>
      <c r="C102" s="17">
        <v>6</v>
      </c>
      <c r="D102" s="22" t="s">
        <v>107</v>
      </c>
      <c r="E102" s="90">
        <v>242.43754918347622</v>
      </c>
      <c r="F102" s="90">
        <f>INDEX('Revised 2019 Lockdown'!H$5:H$257,MATCH(B102,'Revised 2019 Lockdown'!B$5:B$257,0))</f>
        <v>242.43754918347622</v>
      </c>
      <c r="G102" s="90">
        <f t="shared" si="25"/>
        <v>0</v>
      </c>
      <c r="H102" s="5">
        <v>340319.42</v>
      </c>
      <c r="I102" s="5">
        <f>INDEX('Revised 2019 Lockdown'!E$5:E$257,MATCH(B102,'Revised 2019 Lockdown'!B$5:B$257,0))</f>
        <v>340319.42</v>
      </c>
      <c r="J102" s="5">
        <f t="shared" si="26"/>
        <v>0</v>
      </c>
      <c r="K102" s="5">
        <v>142.1</v>
      </c>
      <c r="L102" s="5">
        <f>INDEX('Revised 2019 Lockdown'!F$5:F$257,MATCH(B102,'Revised 2019 Lockdown'!B$5:B$257,0))</f>
        <v>142.1</v>
      </c>
      <c r="M102" s="5">
        <f t="shared" si="27"/>
        <v>0</v>
      </c>
      <c r="N102" s="5">
        <v>340177.32</v>
      </c>
      <c r="O102" s="60">
        <f>INDEX('Revised 2019 Lockdown'!G$5:G$257,MATCH(B102,'Revised 2019 Lockdown'!B$5:B$257,0))</f>
        <v>340177.32</v>
      </c>
      <c r="P102" s="5">
        <f t="shared" si="28"/>
        <v>0</v>
      </c>
      <c r="Q102" s="58">
        <f t="shared" si="29"/>
        <v>1403.1544253178147</v>
      </c>
      <c r="R102" s="6">
        <f t="shared" si="17"/>
        <v>1403.1544253178147</v>
      </c>
      <c r="S102" s="5">
        <f t="shared" si="30"/>
        <v>340177.32</v>
      </c>
      <c r="T102" s="82">
        <v>0.62037037037037024</v>
      </c>
      <c r="U102" s="60">
        <f t="shared" si="18"/>
        <v>78452.108781654999</v>
      </c>
      <c r="V102" s="60">
        <f t="shared" si="19"/>
        <v>17329.839671127524</v>
      </c>
      <c r="W102" s="60">
        <f t="shared" si="20"/>
        <v>14600.809134363568</v>
      </c>
      <c r="X102" s="60">
        <f t="shared" si="21"/>
        <v>4118.6493536847665</v>
      </c>
      <c r="Y102" s="60">
        <f t="shared" si="22"/>
        <v>114501.40694083087</v>
      </c>
      <c r="Z102" s="63">
        <f t="shared" si="23"/>
        <v>0.33659330063753479</v>
      </c>
      <c r="AA102" s="59">
        <f t="shared" si="24"/>
        <v>114504.99574846833</v>
      </c>
      <c r="AB102" s="60"/>
      <c r="AC102" s="59">
        <v>114818.19815650856</v>
      </c>
      <c r="AD102" s="106">
        <f t="shared" si="31"/>
        <v>-313.20240804023342</v>
      </c>
      <c r="AE102" s="106">
        <v>-311.64584739926795</v>
      </c>
      <c r="AF102" s="106">
        <f t="shared" si="32"/>
        <v>-1.556560640965472</v>
      </c>
      <c r="AG102" s="59"/>
    </row>
    <row r="103" spans="2:33" x14ac:dyDescent="0.35">
      <c r="B103">
        <v>765</v>
      </c>
      <c r="C103" s="17">
        <v>6</v>
      </c>
      <c r="D103" s="22" t="s">
        <v>108</v>
      </c>
      <c r="E103" s="90">
        <v>86.906400000000005</v>
      </c>
      <c r="F103" s="90">
        <f>INDEX('Revised 2019 Lockdown'!H$5:H$257,MATCH(B103,'Revised 2019 Lockdown'!B$5:B$257,0))</f>
        <v>86.906400000000005</v>
      </c>
      <c r="G103" s="90">
        <f t="shared" si="25"/>
        <v>0</v>
      </c>
      <c r="H103" s="5">
        <v>83939.95</v>
      </c>
      <c r="I103" s="5">
        <f>INDEX('Revised 2019 Lockdown'!E$5:E$257,MATCH(B103,'Revised 2019 Lockdown'!B$5:B$257,0))</f>
        <v>83939.95</v>
      </c>
      <c r="J103" s="5">
        <f t="shared" si="26"/>
        <v>0</v>
      </c>
      <c r="K103" s="5">
        <v>0</v>
      </c>
      <c r="L103" s="5">
        <f>INDEX('Revised 2019 Lockdown'!F$5:F$257,MATCH(B103,'Revised 2019 Lockdown'!B$5:B$257,0))</f>
        <v>0</v>
      </c>
      <c r="M103" s="5">
        <f t="shared" si="27"/>
        <v>0</v>
      </c>
      <c r="N103" s="5">
        <v>83939.95</v>
      </c>
      <c r="O103" s="60">
        <f>INDEX('Revised 2019 Lockdown'!G$5:G$257,MATCH(B103,'Revised 2019 Lockdown'!B$5:B$257,0))</f>
        <v>83939.95</v>
      </c>
      <c r="P103" s="5">
        <f t="shared" si="28"/>
        <v>0</v>
      </c>
      <c r="Q103" s="58">
        <f t="shared" si="29"/>
        <v>965.86615024900345</v>
      </c>
      <c r="R103" s="6">
        <f t="shared" si="17"/>
        <v>965.86615024900345</v>
      </c>
      <c r="S103" s="5">
        <f t="shared" si="30"/>
        <v>83939.95</v>
      </c>
      <c r="T103" s="82">
        <v>0.36111111111111105</v>
      </c>
      <c r="U103" s="60">
        <f t="shared" si="18"/>
        <v>19358.333731733444</v>
      </c>
      <c r="V103" s="60">
        <f t="shared" si="19"/>
        <v>6212.2141700710054</v>
      </c>
      <c r="W103" s="60">
        <f t="shared" si="20"/>
        <v>2097.1528209377893</v>
      </c>
      <c r="X103" s="60">
        <f t="shared" si="21"/>
        <v>1016.2912119356798</v>
      </c>
      <c r="Y103" s="60">
        <f t="shared" si="22"/>
        <v>28683.991934677921</v>
      </c>
      <c r="Z103" s="63">
        <f t="shared" si="23"/>
        <v>0.3417203838539089</v>
      </c>
      <c r="AA103" s="59">
        <f t="shared" si="24"/>
        <v>28684.890974541955</v>
      </c>
      <c r="AB103" s="60"/>
      <c r="AC103" s="59">
        <v>28760.212007277194</v>
      </c>
      <c r="AD103" s="106">
        <f t="shared" si="31"/>
        <v>-75.321032735238987</v>
      </c>
      <c r="AE103" s="106">
        <v>-74.962873432283232</v>
      </c>
      <c r="AF103" s="106">
        <f t="shared" si="32"/>
        <v>-0.35815930295575527</v>
      </c>
      <c r="AG103" s="59"/>
    </row>
    <row r="104" spans="2:33" x14ac:dyDescent="0.35">
      <c r="B104">
        <v>770</v>
      </c>
      <c r="C104" s="17">
        <v>6</v>
      </c>
      <c r="D104" s="22" t="s">
        <v>109</v>
      </c>
      <c r="E104" s="90">
        <v>26.529705367571449</v>
      </c>
      <c r="F104" s="90">
        <f>INDEX('Revised 2019 Lockdown'!H$5:H$257,MATCH(B104,'Revised 2019 Lockdown'!B$5:B$257,0))</f>
        <v>26.529705367571449</v>
      </c>
      <c r="G104" s="90">
        <f t="shared" si="25"/>
        <v>0</v>
      </c>
      <c r="H104" s="5">
        <v>30839.79</v>
      </c>
      <c r="I104" s="5">
        <f>INDEX('Revised 2019 Lockdown'!E$5:E$257,MATCH(B104,'Revised 2019 Lockdown'!B$5:B$257,0))</f>
        <v>30839.79</v>
      </c>
      <c r="J104" s="5">
        <f t="shared" si="26"/>
        <v>0</v>
      </c>
      <c r="K104" s="5">
        <v>0</v>
      </c>
      <c r="L104" s="5">
        <f>INDEX('Revised 2019 Lockdown'!F$5:F$257,MATCH(B104,'Revised 2019 Lockdown'!B$5:B$257,0))</f>
        <v>0</v>
      </c>
      <c r="M104" s="5">
        <f t="shared" si="27"/>
        <v>0</v>
      </c>
      <c r="N104" s="5">
        <v>30839.79</v>
      </c>
      <c r="O104" s="60">
        <f>INDEX('Revised 2019 Lockdown'!G$5:G$257,MATCH(B104,'Revised 2019 Lockdown'!B$5:B$257,0))</f>
        <v>30839.79</v>
      </c>
      <c r="P104" s="5">
        <f t="shared" si="28"/>
        <v>0</v>
      </c>
      <c r="Q104" s="58">
        <f t="shared" si="29"/>
        <v>1162.4625894902315</v>
      </c>
      <c r="R104" s="6">
        <f t="shared" si="17"/>
        <v>1162.4625894902315</v>
      </c>
      <c r="S104" s="5">
        <f t="shared" si="30"/>
        <v>30839.79</v>
      </c>
      <c r="T104" s="82">
        <v>0.29166666666666663</v>
      </c>
      <c r="U104" s="60">
        <f t="shared" si="18"/>
        <v>7112.3100149163274</v>
      </c>
      <c r="V104" s="60">
        <f t="shared" si="19"/>
        <v>1896.3875113022302</v>
      </c>
      <c r="W104" s="60">
        <f t="shared" si="20"/>
        <v>622.32712630517847</v>
      </c>
      <c r="X104" s="60">
        <f t="shared" si="21"/>
        <v>373.38844679966883</v>
      </c>
      <c r="Y104" s="60">
        <f t="shared" si="22"/>
        <v>10004.413099323405</v>
      </c>
      <c r="Z104" s="63">
        <f t="shared" si="23"/>
        <v>0.32439952085676993</v>
      </c>
      <c r="AA104" s="59">
        <f t="shared" si="24"/>
        <v>10004.726666772909</v>
      </c>
      <c r="AB104" s="60"/>
      <c r="AC104" s="59">
        <v>10031.462656171489</v>
      </c>
      <c r="AD104" s="106">
        <f t="shared" si="31"/>
        <v>-26.735989398579477</v>
      </c>
      <c r="AE104" s="106">
        <v>-26.605834327338016</v>
      </c>
      <c r="AF104" s="106">
        <f t="shared" si="32"/>
        <v>-0.13015507124146097</v>
      </c>
      <c r="AG104" s="59"/>
    </row>
    <row r="105" spans="2:33" x14ac:dyDescent="0.35">
      <c r="B105">
        <v>774</v>
      </c>
      <c r="C105" s="17">
        <v>6</v>
      </c>
      <c r="D105" s="22" t="s">
        <v>110</v>
      </c>
      <c r="E105" s="90">
        <v>357.53110369632333</v>
      </c>
      <c r="F105" s="90">
        <f>INDEX('Revised 2019 Lockdown'!H$5:H$257,MATCH(B105,'Revised 2019 Lockdown'!B$5:B$257,0))</f>
        <v>357.53110369632333</v>
      </c>
      <c r="G105" s="90">
        <f t="shared" si="25"/>
        <v>0</v>
      </c>
      <c r="H105" s="5">
        <v>291174.90000000002</v>
      </c>
      <c r="I105" s="5">
        <f>INDEX('Revised 2019 Lockdown'!E$5:E$257,MATCH(B105,'Revised 2019 Lockdown'!B$5:B$257,0))</f>
        <v>291174.90000000002</v>
      </c>
      <c r="J105" s="5">
        <f t="shared" si="26"/>
        <v>0</v>
      </c>
      <c r="K105" s="5">
        <v>0</v>
      </c>
      <c r="L105" s="5">
        <f>INDEX('Revised 2019 Lockdown'!F$5:F$257,MATCH(B105,'Revised 2019 Lockdown'!B$5:B$257,0))</f>
        <v>0</v>
      </c>
      <c r="M105" s="5">
        <f t="shared" si="27"/>
        <v>0</v>
      </c>
      <c r="N105" s="5">
        <v>291174.90000000002</v>
      </c>
      <c r="O105" s="60">
        <f>INDEX('Revised 2019 Lockdown'!G$5:G$257,MATCH(B105,'Revised 2019 Lockdown'!B$5:B$257,0))</f>
        <v>291174.90000000002</v>
      </c>
      <c r="P105" s="5">
        <f t="shared" si="28"/>
        <v>0</v>
      </c>
      <c r="Q105" s="58">
        <f t="shared" si="29"/>
        <v>814.40438884812556</v>
      </c>
      <c r="R105" s="6">
        <f t="shared" si="17"/>
        <v>814.40438884812556</v>
      </c>
      <c r="S105" s="5">
        <f t="shared" si="30"/>
        <v>291174.90000000002</v>
      </c>
      <c r="T105" s="82">
        <v>0.6689814814814814</v>
      </c>
      <c r="U105" s="60">
        <f t="shared" si="18"/>
        <v>67151.110865614202</v>
      </c>
      <c r="V105" s="60">
        <f t="shared" si="19"/>
        <v>25556.918577037199</v>
      </c>
      <c r="W105" s="60">
        <f t="shared" si="20"/>
        <v>13476.854889001737</v>
      </c>
      <c r="X105" s="60">
        <f t="shared" si="21"/>
        <v>3525.3594028379866</v>
      </c>
      <c r="Y105" s="60">
        <f t="shared" si="22"/>
        <v>109710.24373449113</v>
      </c>
      <c r="Z105" s="63">
        <f t="shared" si="23"/>
        <v>0.37678468760353701</v>
      </c>
      <c r="AA105" s="59">
        <f t="shared" si="24"/>
        <v>109713.68237311697</v>
      </c>
      <c r="AB105" s="60"/>
      <c r="AC105" s="59">
        <v>109998.50870971034</v>
      </c>
      <c r="AD105" s="106">
        <f t="shared" si="31"/>
        <v>-284.82633659336716</v>
      </c>
      <c r="AE105" s="106">
        <v>-283.47335474990541</v>
      </c>
      <c r="AF105" s="106">
        <f t="shared" si="32"/>
        <v>-1.3529818434617482</v>
      </c>
      <c r="AG105" s="59"/>
    </row>
    <row r="106" spans="2:33" x14ac:dyDescent="0.35">
      <c r="B106">
        <v>794</v>
      </c>
      <c r="C106" s="17">
        <v>6</v>
      </c>
      <c r="D106" s="22" t="s">
        <v>111</v>
      </c>
      <c r="E106" s="90">
        <v>19.658346730975349</v>
      </c>
      <c r="F106" s="90">
        <f>INDEX('Revised 2019 Lockdown'!H$5:H$257,MATCH(B106,'Revised 2019 Lockdown'!B$5:B$257,0))</f>
        <v>19.658346730975349</v>
      </c>
      <c r="G106" s="90">
        <f t="shared" si="25"/>
        <v>0</v>
      </c>
      <c r="H106" s="5">
        <v>44067.08</v>
      </c>
      <c r="I106" s="5">
        <f>INDEX('Revised 2019 Lockdown'!E$5:E$257,MATCH(B106,'Revised 2019 Lockdown'!B$5:B$257,0))</f>
        <v>44067.08</v>
      </c>
      <c r="J106" s="5">
        <f t="shared" si="26"/>
        <v>0</v>
      </c>
      <c r="K106" s="5">
        <v>0</v>
      </c>
      <c r="L106" s="5">
        <f>INDEX('Revised 2019 Lockdown'!F$5:F$257,MATCH(B106,'Revised 2019 Lockdown'!B$5:B$257,0))</f>
        <v>0</v>
      </c>
      <c r="M106" s="5">
        <f t="shared" si="27"/>
        <v>0</v>
      </c>
      <c r="N106" s="5">
        <v>44067.08</v>
      </c>
      <c r="O106" s="60">
        <f>INDEX('Revised 2019 Lockdown'!G$5:G$257,MATCH(B106,'Revised 2019 Lockdown'!B$5:B$257,0))</f>
        <v>44067.08</v>
      </c>
      <c r="P106" s="5">
        <f t="shared" si="28"/>
        <v>0</v>
      </c>
      <c r="Q106" s="58">
        <f t="shared" si="29"/>
        <v>2241.6473065135328</v>
      </c>
      <c r="R106" s="6">
        <f t="shared" si="17"/>
        <v>1517.4271794836054</v>
      </c>
      <c r="S106" s="5">
        <f t="shared" si="30"/>
        <v>29830.10963329468</v>
      </c>
      <c r="T106" s="82">
        <v>0.56944444444444442</v>
      </c>
      <c r="U106" s="60">
        <f t="shared" si="18"/>
        <v>6879.4562962631644</v>
      </c>
      <c r="V106" s="60">
        <f t="shared" si="19"/>
        <v>1405.2113552319977</v>
      </c>
      <c r="W106" s="60">
        <f t="shared" si="20"/>
        <v>1175.2404506116238</v>
      </c>
      <c r="X106" s="60">
        <f t="shared" si="21"/>
        <v>361.16388288765063</v>
      </c>
      <c r="Y106" s="60">
        <f t="shared" si="22"/>
        <v>9821.0719849944362</v>
      </c>
      <c r="Z106" s="63">
        <f t="shared" si="23"/>
        <v>0.32923351961243585</v>
      </c>
      <c r="AA106" s="59">
        <f t="shared" si="24"/>
        <v>9821.3798059993424</v>
      </c>
      <c r="AB106" s="60"/>
      <c r="AC106" s="59">
        <v>9876.3949399512203</v>
      </c>
      <c r="AD106" s="106">
        <f t="shared" si="31"/>
        <v>-55.015133951877942</v>
      </c>
      <c r="AE106" s="106">
        <v>-54.884167707214147</v>
      </c>
      <c r="AF106" s="106">
        <f t="shared" si="32"/>
        <v>-0.13096624466379581</v>
      </c>
      <c r="AG106" s="59"/>
    </row>
    <row r="107" spans="2:33" x14ac:dyDescent="0.35">
      <c r="B107">
        <v>806</v>
      </c>
      <c r="C107" s="17">
        <v>6</v>
      </c>
      <c r="D107" s="22" t="s">
        <v>112</v>
      </c>
      <c r="E107" s="90">
        <v>28</v>
      </c>
      <c r="F107" s="90">
        <f>INDEX('Revised 2019 Lockdown'!H$5:H$257,MATCH(B107,'Revised 2019 Lockdown'!B$5:B$257,0))</f>
        <v>28</v>
      </c>
      <c r="G107" s="90">
        <f t="shared" si="25"/>
        <v>0</v>
      </c>
      <c r="H107" s="5">
        <v>39624.269999999997</v>
      </c>
      <c r="I107" s="5">
        <f>INDEX('Revised 2019 Lockdown'!E$5:E$257,MATCH(B107,'Revised 2019 Lockdown'!B$5:B$257,0))</f>
        <v>39624.269999999997</v>
      </c>
      <c r="J107" s="5">
        <f t="shared" si="26"/>
        <v>0</v>
      </c>
      <c r="K107" s="5">
        <v>0</v>
      </c>
      <c r="L107" s="5">
        <f>INDEX('Revised 2019 Lockdown'!F$5:F$257,MATCH(B107,'Revised 2019 Lockdown'!B$5:B$257,0))</f>
        <v>0</v>
      </c>
      <c r="M107" s="5">
        <f t="shared" si="27"/>
        <v>0</v>
      </c>
      <c r="N107" s="5">
        <v>39624.269999999997</v>
      </c>
      <c r="O107" s="60">
        <f>INDEX('Revised 2019 Lockdown'!G$5:G$257,MATCH(B107,'Revised 2019 Lockdown'!B$5:B$257,0))</f>
        <v>39624.269999999997</v>
      </c>
      <c r="P107" s="5">
        <f t="shared" si="28"/>
        <v>0</v>
      </c>
      <c r="Q107" s="58">
        <f t="shared" si="29"/>
        <v>1415.1524999999999</v>
      </c>
      <c r="R107" s="6">
        <f t="shared" si="17"/>
        <v>1415.1524999999999</v>
      </c>
      <c r="S107" s="5">
        <f t="shared" si="30"/>
        <v>39624.269999999997</v>
      </c>
      <c r="T107" s="82">
        <v>0.31944444444444442</v>
      </c>
      <c r="U107" s="60">
        <f t="shared" si="18"/>
        <v>9138.1975154418542</v>
      </c>
      <c r="V107" s="60">
        <f t="shared" si="19"/>
        <v>2001.4866196504299</v>
      </c>
      <c r="W107" s="60">
        <f t="shared" si="20"/>
        <v>875.74392856317763</v>
      </c>
      <c r="X107" s="60">
        <f t="shared" si="21"/>
        <v>479.74531055077586</v>
      </c>
      <c r="Y107" s="60">
        <f t="shared" si="22"/>
        <v>12495.173374206237</v>
      </c>
      <c r="Z107" s="63">
        <f t="shared" si="23"/>
        <v>0.31534141510256813</v>
      </c>
      <c r="AA107" s="59">
        <f t="shared" si="24"/>
        <v>12495.565009338368</v>
      </c>
      <c r="AB107" s="60"/>
      <c r="AC107" s="59">
        <v>12529.580704231217</v>
      </c>
      <c r="AD107" s="106">
        <f t="shared" si="31"/>
        <v>-34.015694892848842</v>
      </c>
      <c r="AE107" s="106">
        <v>-33.848430845066105</v>
      </c>
      <c r="AF107" s="106">
        <f t="shared" si="32"/>
        <v>-0.16726404778273718</v>
      </c>
      <c r="AG107" s="59"/>
    </row>
    <row r="108" spans="2:33" x14ac:dyDescent="0.35">
      <c r="B108">
        <v>809</v>
      </c>
      <c r="C108" s="17">
        <v>6</v>
      </c>
      <c r="D108" s="22" t="s">
        <v>348</v>
      </c>
      <c r="E108" s="90">
        <v>348.46479174516446</v>
      </c>
      <c r="F108" s="90">
        <f>INDEX('Revised 2019 Lockdown'!H$5:H$257,MATCH(B108,'Revised 2019 Lockdown'!B$5:B$257,0))</f>
        <v>348.46479174516446</v>
      </c>
      <c r="G108" s="90">
        <f t="shared" si="25"/>
        <v>0</v>
      </c>
      <c r="H108" s="5">
        <v>495521.19</v>
      </c>
      <c r="I108" s="5">
        <f>INDEX('Revised 2019 Lockdown'!E$5:E$257,MATCH(B108,'Revised 2019 Lockdown'!B$5:B$257,0))</f>
        <v>495521.19</v>
      </c>
      <c r="J108" s="5">
        <f t="shared" si="26"/>
        <v>0</v>
      </c>
      <c r="K108" s="5">
        <v>0</v>
      </c>
      <c r="L108" s="5">
        <f>INDEX('Revised 2019 Lockdown'!F$5:F$257,MATCH(B108,'Revised 2019 Lockdown'!B$5:B$257,0))</f>
        <v>0</v>
      </c>
      <c r="M108" s="5">
        <f t="shared" si="27"/>
        <v>0</v>
      </c>
      <c r="N108" s="5">
        <v>495521.19</v>
      </c>
      <c r="O108" s="60">
        <f>INDEX('Revised 2019 Lockdown'!G$5:G$257,MATCH(B108,'Revised 2019 Lockdown'!B$5:B$257,0))</f>
        <v>495521.19</v>
      </c>
      <c r="P108" s="5">
        <f t="shared" si="28"/>
        <v>0</v>
      </c>
      <c r="Q108" s="58">
        <f t="shared" si="29"/>
        <v>1422.0122139696089</v>
      </c>
      <c r="R108" s="6">
        <f t="shared" si="17"/>
        <v>1422.0122139696089</v>
      </c>
      <c r="S108" s="5">
        <f t="shared" si="30"/>
        <v>495521.19</v>
      </c>
      <c r="T108" s="82">
        <v>0.51851851851851849</v>
      </c>
      <c r="U108" s="60">
        <f t="shared" si="18"/>
        <v>114277.7017042028</v>
      </c>
      <c r="V108" s="60">
        <f t="shared" si="19"/>
        <v>24908.843503472151</v>
      </c>
      <c r="W108" s="60">
        <f t="shared" si="20"/>
        <v>17776.531376209325</v>
      </c>
      <c r="X108" s="60">
        <f t="shared" si="21"/>
        <v>5999.4535465521521</v>
      </c>
      <c r="Y108" s="60">
        <f t="shared" si="22"/>
        <v>162962.53013043644</v>
      </c>
      <c r="Z108" s="63">
        <f t="shared" si="23"/>
        <v>0.32887096136178645</v>
      </c>
      <c r="AA108" s="59">
        <f t="shared" si="24"/>
        <v>162967.63785084247</v>
      </c>
      <c r="AB108" s="60"/>
      <c r="AC108" s="59">
        <v>163413.08754437556</v>
      </c>
      <c r="AD108" s="106">
        <f t="shared" si="31"/>
        <v>-445.44969353309716</v>
      </c>
      <c r="AE108" s="106">
        <v>-443.2378188984294</v>
      </c>
      <c r="AF108" s="106">
        <f t="shared" si="32"/>
        <v>-2.2118746346677653</v>
      </c>
      <c r="AG108" s="59"/>
    </row>
    <row r="109" spans="2:33" x14ac:dyDescent="0.35">
      <c r="B109">
        <v>811</v>
      </c>
      <c r="C109" s="17">
        <v>6</v>
      </c>
      <c r="D109" s="22" t="s">
        <v>113</v>
      </c>
      <c r="E109" s="90">
        <v>586.72493379030573</v>
      </c>
      <c r="F109" s="90">
        <f>INDEX('Revised 2019 Lockdown'!H$5:H$257,MATCH(B109,'Revised 2019 Lockdown'!B$5:B$257,0))</f>
        <v>586.72493379030573</v>
      </c>
      <c r="G109" s="90">
        <f t="shared" si="25"/>
        <v>0</v>
      </c>
      <c r="H109" s="5">
        <v>529013.12</v>
      </c>
      <c r="I109" s="5">
        <f>INDEX('Revised 2019 Lockdown'!E$5:E$257,MATCH(B109,'Revised 2019 Lockdown'!B$5:B$257,0))</f>
        <v>508959.18</v>
      </c>
      <c r="J109" s="5">
        <f t="shared" si="26"/>
        <v>-20053.940000000002</v>
      </c>
      <c r="K109" s="5">
        <v>7228.6</v>
      </c>
      <c r="L109" s="5">
        <f>INDEX('Revised 2019 Lockdown'!F$5:F$257,MATCH(B109,'Revised 2019 Lockdown'!B$5:B$257,0))</f>
        <v>7228.6</v>
      </c>
      <c r="M109" s="5">
        <f t="shared" si="27"/>
        <v>0</v>
      </c>
      <c r="N109" s="5">
        <v>521784.52</v>
      </c>
      <c r="O109" s="60">
        <f>INDEX('Revised 2019 Lockdown'!G$5:G$257,MATCH(B109,'Revised 2019 Lockdown'!B$5:B$257,0))</f>
        <v>501730.58</v>
      </c>
      <c r="P109" s="5">
        <f t="shared" si="28"/>
        <v>-20053.940000000002</v>
      </c>
      <c r="Q109" s="58">
        <f t="shared" si="29"/>
        <v>855.13764816294224</v>
      </c>
      <c r="R109" s="6">
        <f t="shared" si="17"/>
        <v>855.13764816294224</v>
      </c>
      <c r="S109" s="5">
        <f t="shared" si="30"/>
        <v>501730.58</v>
      </c>
      <c r="T109" s="82">
        <v>0.47222222222222221</v>
      </c>
      <c r="U109" s="60">
        <f t="shared" si="18"/>
        <v>115709.71880560074</v>
      </c>
      <c r="V109" s="60">
        <f t="shared" si="19"/>
        <v>41940.075157020758</v>
      </c>
      <c r="W109" s="60">
        <f t="shared" si="20"/>
        <v>16392.210164126769</v>
      </c>
      <c r="X109" s="60">
        <f t="shared" si="21"/>
        <v>6074.6328680609367</v>
      </c>
      <c r="Y109" s="60">
        <f t="shared" si="22"/>
        <v>180116.6369948092</v>
      </c>
      <c r="Z109" s="63">
        <f t="shared" si="23"/>
        <v>0.35899074956684762</v>
      </c>
      <c r="AA109" s="59">
        <f t="shared" si="24"/>
        <v>180122.28237489448</v>
      </c>
      <c r="AB109" s="60"/>
      <c r="AC109" s="59">
        <v>186129.69163627899</v>
      </c>
      <c r="AD109" s="106">
        <f t="shared" si="31"/>
        <v>-6007.4092613845132</v>
      </c>
      <c r="AE109" s="106">
        <v>-6005.1871504389273</v>
      </c>
      <c r="AF109" s="106">
        <f t="shared" si="32"/>
        <v>-2.2221109455858823</v>
      </c>
      <c r="AG109" s="59"/>
    </row>
    <row r="110" spans="2:33" x14ac:dyDescent="0.35">
      <c r="B110">
        <v>824</v>
      </c>
      <c r="C110" s="17">
        <v>6</v>
      </c>
      <c r="D110" s="22" t="s">
        <v>114</v>
      </c>
      <c r="E110" s="90">
        <v>33.61</v>
      </c>
      <c r="F110" s="90">
        <f>INDEX('Revised 2019 Lockdown'!H$5:H$257,MATCH(B110,'Revised 2019 Lockdown'!B$5:B$257,0))</f>
        <v>33.61</v>
      </c>
      <c r="G110" s="90">
        <f t="shared" si="25"/>
        <v>0</v>
      </c>
      <c r="H110" s="5">
        <v>64105.83</v>
      </c>
      <c r="I110" s="5">
        <f>INDEX('Revised 2019 Lockdown'!E$5:E$257,MATCH(B110,'Revised 2019 Lockdown'!B$5:B$257,0))</f>
        <v>64105.83</v>
      </c>
      <c r="J110" s="5">
        <f t="shared" si="26"/>
        <v>0</v>
      </c>
      <c r="K110" s="5">
        <v>0</v>
      </c>
      <c r="L110" s="5">
        <f>INDEX('Revised 2019 Lockdown'!F$5:F$257,MATCH(B110,'Revised 2019 Lockdown'!B$5:B$257,0))</f>
        <v>0</v>
      </c>
      <c r="M110" s="5">
        <f t="shared" si="27"/>
        <v>0</v>
      </c>
      <c r="N110" s="5">
        <v>64105.83</v>
      </c>
      <c r="O110" s="60">
        <f>INDEX('Revised 2019 Lockdown'!G$5:G$257,MATCH(B110,'Revised 2019 Lockdown'!B$5:B$257,0))</f>
        <v>64105.83</v>
      </c>
      <c r="P110" s="5">
        <f t="shared" si="28"/>
        <v>0</v>
      </c>
      <c r="Q110" s="58">
        <f t="shared" si="29"/>
        <v>1907.3439452543887</v>
      </c>
      <c r="R110" s="6">
        <f t="shared" si="17"/>
        <v>1517.4271794836054</v>
      </c>
      <c r="S110" s="5">
        <f t="shared" si="30"/>
        <v>51000.72750244398</v>
      </c>
      <c r="T110" s="82">
        <v>0.27777777777777779</v>
      </c>
      <c r="U110" s="60">
        <f t="shared" si="18"/>
        <v>11761.850031522617</v>
      </c>
      <c r="V110" s="60">
        <f t="shared" si="19"/>
        <v>2402.4987602303913</v>
      </c>
      <c r="W110" s="60">
        <f t="shared" si="20"/>
        <v>980.15416929355149</v>
      </c>
      <c r="X110" s="60">
        <f t="shared" si="21"/>
        <v>617.48417961959899</v>
      </c>
      <c r="Y110" s="60">
        <f t="shared" si="22"/>
        <v>15761.98714066616</v>
      </c>
      <c r="Z110" s="63">
        <f t="shared" si="23"/>
        <v>0.30905416280406661</v>
      </c>
      <c r="AA110" s="59">
        <f t="shared" si="24"/>
        <v>15762.481167258</v>
      </c>
      <c r="AB110" s="60"/>
      <c r="AC110" s="59">
        <v>15850.066327204455</v>
      </c>
      <c r="AD110" s="106">
        <f t="shared" si="31"/>
        <v>-87.585159946454951</v>
      </c>
      <c r="AE110" s="106">
        <v>-87.37717329086081</v>
      </c>
      <c r="AF110" s="106">
        <f t="shared" si="32"/>
        <v>-0.20798665559414076</v>
      </c>
      <c r="AG110" s="59"/>
    </row>
    <row r="111" spans="2:33" x14ac:dyDescent="0.35">
      <c r="B111">
        <v>826</v>
      </c>
      <c r="C111" s="17">
        <v>6</v>
      </c>
      <c r="D111" s="22" t="s">
        <v>115</v>
      </c>
      <c r="E111" s="90">
        <v>39.180399999999999</v>
      </c>
      <c r="F111" s="90">
        <f>INDEX('Revised 2019 Lockdown'!H$5:H$257,MATCH(B111,'Revised 2019 Lockdown'!B$5:B$257,0))</f>
        <v>39.180399999999999</v>
      </c>
      <c r="G111" s="90">
        <f t="shared" si="25"/>
        <v>0</v>
      </c>
      <c r="H111" s="5">
        <v>36328.44</v>
      </c>
      <c r="I111" s="5">
        <f>INDEX('Revised 2019 Lockdown'!E$5:E$257,MATCH(B111,'Revised 2019 Lockdown'!B$5:B$257,0))</f>
        <v>36328.44</v>
      </c>
      <c r="J111" s="5">
        <f t="shared" si="26"/>
        <v>0</v>
      </c>
      <c r="K111" s="5">
        <v>0</v>
      </c>
      <c r="L111" s="5">
        <f>INDEX('Revised 2019 Lockdown'!F$5:F$257,MATCH(B111,'Revised 2019 Lockdown'!B$5:B$257,0))</f>
        <v>0</v>
      </c>
      <c r="M111" s="5">
        <f t="shared" si="27"/>
        <v>0</v>
      </c>
      <c r="N111" s="5">
        <v>36328.44</v>
      </c>
      <c r="O111" s="60">
        <f>INDEX('Revised 2019 Lockdown'!G$5:G$257,MATCH(B111,'Revised 2019 Lockdown'!B$5:B$257,0))</f>
        <v>36328.44</v>
      </c>
      <c r="P111" s="5">
        <f t="shared" si="28"/>
        <v>0</v>
      </c>
      <c r="Q111" s="58">
        <f t="shared" si="29"/>
        <v>927.20952312891143</v>
      </c>
      <c r="R111" s="6">
        <f t="shared" si="17"/>
        <v>927.20952312891143</v>
      </c>
      <c r="S111" s="5">
        <f t="shared" si="30"/>
        <v>36328.44</v>
      </c>
      <c r="T111" s="82">
        <v>0.40277777777777779</v>
      </c>
      <c r="U111" s="60">
        <f t="shared" si="18"/>
        <v>8378.1091777306829</v>
      </c>
      <c r="V111" s="60">
        <f t="shared" si="19"/>
        <v>2800.6802268768465</v>
      </c>
      <c r="W111" s="60">
        <f t="shared" si="20"/>
        <v>1012.3548589757909</v>
      </c>
      <c r="X111" s="60">
        <f t="shared" si="21"/>
        <v>439.84150949973923</v>
      </c>
      <c r="Y111" s="60">
        <f t="shared" si="22"/>
        <v>12630.985773083059</v>
      </c>
      <c r="Z111" s="63">
        <f t="shared" si="23"/>
        <v>0.34768863659114069</v>
      </c>
      <c r="AA111" s="59">
        <f t="shared" si="24"/>
        <v>12631.381664971395</v>
      </c>
      <c r="AB111" s="60"/>
      <c r="AC111" s="59">
        <v>12664.434879988468</v>
      </c>
      <c r="AD111" s="106">
        <f t="shared" si="31"/>
        <v>-33.053215017072944</v>
      </c>
      <c r="AE111" s="106">
        <v>-32.896547674314206</v>
      </c>
      <c r="AF111" s="106">
        <f t="shared" si="32"/>
        <v>-0.1566673427587375</v>
      </c>
      <c r="AG111" s="59"/>
    </row>
    <row r="112" spans="2:33" x14ac:dyDescent="0.35">
      <c r="B112">
        <v>840</v>
      </c>
      <c r="C112" s="17">
        <v>6</v>
      </c>
      <c r="D112" s="22" t="s">
        <v>116</v>
      </c>
      <c r="E112" s="90">
        <v>138.55202775991427</v>
      </c>
      <c r="F112" s="90">
        <f>INDEX('Revised 2019 Lockdown'!H$5:H$257,MATCH(B112,'Revised 2019 Lockdown'!B$5:B$257,0))</f>
        <v>138.55202775991427</v>
      </c>
      <c r="G112" s="90">
        <f t="shared" si="25"/>
        <v>0</v>
      </c>
      <c r="H112" s="5">
        <v>115261.04</v>
      </c>
      <c r="I112" s="5">
        <f>INDEX('Revised 2019 Lockdown'!E$5:E$257,MATCH(B112,'Revised 2019 Lockdown'!B$5:B$257,0))</f>
        <v>115261.04</v>
      </c>
      <c r="J112" s="5">
        <f t="shared" si="26"/>
        <v>0</v>
      </c>
      <c r="K112" s="5">
        <v>0</v>
      </c>
      <c r="L112" s="5">
        <f>INDEX('Revised 2019 Lockdown'!F$5:F$257,MATCH(B112,'Revised 2019 Lockdown'!B$5:B$257,0))</f>
        <v>0</v>
      </c>
      <c r="M112" s="5">
        <f t="shared" si="27"/>
        <v>0</v>
      </c>
      <c r="N112" s="5">
        <v>115261.04</v>
      </c>
      <c r="O112" s="60">
        <f>INDEX('Revised 2019 Lockdown'!G$5:G$257,MATCH(B112,'Revised 2019 Lockdown'!B$5:B$257,0))</f>
        <v>115261.04</v>
      </c>
      <c r="P112" s="5">
        <f t="shared" si="28"/>
        <v>0</v>
      </c>
      <c r="Q112" s="58">
        <f t="shared" si="29"/>
        <v>831.89717150676881</v>
      </c>
      <c r="R112" s="6">
        <f t="shared" si="17"/>
        <v>831.89717150676881</v>
      </c>
      <c r="S112" s="5">
        <f t="shared" si="30"/>
        <v>115261.04</v>
      </c>
      <c r="T112" s="82">
        <v>0.37962962962962965</v>
      </c>
      <c r="U112" s="60">
        <f t="shared" si="18"/>
        <v>26581.641740156836</v>
      </c>
      <c r="V112" s="60">
        <f t="shared" si="19"/>
        <v>9903.9296316751206</v>
      </c>
      <c r="W112" s="60">
        <f t="shared" si="20"/>
        <v>3027.3536426289729</v>
      </c>
      <c r="X112" s="60">
        <f t="shared" si="21"/>
        <v>1395.5069312117398</v>
      </c>
      <c r="Y112" s="60">
        <f t="shared" si="22"/>
        <v>40908.431945672673</v>
      </c>
      <c r="Z112" s="63">
        <f t="shared" si="23"/>
        <v>0.35491985796477871</v>
      </c>
      <c r="AA112" s="59">
        <f t="shared" si="24"/>
        <v>40909.714135096583</v>
      </c>
      <c r="AB112" s="60"/>
      <c r="AC112" s="59">
        <v>41015.350608957437</v>
      </c>
      <c r="AD112" s="106">
        <f t="shared" si="31"/>
        <v>-105.63647386085358</v>
      </c>
      <c r="AE112" s="106">
        <v>-105.14233683827479</v>
      </c>
      <c r="AF112" s="106">
        <f t="shared" si="32"/>
        <v>-0.49413702257879777</v>
      </c>
      <c r="AG112" s="59"/>
    </row>
    <row r="113" spans="2:33" x14ac:dyDescent="0.35">
      <c r="B113">
        <v>843</v>
      </c>
      <c r="C113" s="17">
        <v>6</v>
      </c>
      <c r="D113" s="22" t="s">
        <v>117</v>
      </c>
      <c r="E113" s="90">
        <v>24.72</v>
      </c>
      <c r="F113" s="90">
        <f>INDEX('Revised 2019 Lockdown'!H$5:H$257,MATCH(B113,'Revised 2019 Lockdown'!B$5:B$257,0))</f>
        <v>24.72</v>
      </c>
      <c r="G113" s="90">
        <f t="shared" si="25"/>
        <v>0</v>
      </c>
      <c r="H113" s="5">
        <v>32653.86</v>
      </c>
      <c r="I113" s="5">
        <f>INDEX('Revised 2019 Lockdown'!E$5:E$257,MATCH(B113,'Revised 2019 Lockdown'!B$5:B$257,0))</f>
        <v>32653.86</v>
      </c>
      <c r="J113" s="5">
        <f t="shared" si="26"/>
        <v>0</v>
      </c>
      <c r="K113" s="5">
        <v>0</v>
      </c>
      <c r="L113" s="5">
        <f>INDEX('Revised 2019 Lockdown'!F$5:F$257,MATCH(B113,'Revised 2019 Lockdown'!B$5:B$257,0))</f>
        <v>0</v>
      </c>
      <c r="M113" s="5">
        <f t="shared" si="27"/>
        <v>0</v>
      </c>
      <c r="N113" s="5">
        <v>32653.86</v>
      </c>
      <c r="O113" s="60">
        <f>INDEX('Revised 2019 Lockdown'!G$5:G$257,MATCH(B113,'Revised 2019 Lockdown'!B$5:B$257,0))</f>
        <v>32653.86</v>
      </c>
      <c r="P113" s="5">
        <f t="shared" si="28"/>
        <v>0</v>
      </c>
      <c r="Q113" s="58">
        <f t="shared" si="29"/>
        <v>1320.9490291262136</v>
      </c>
      <c r="R113" s="6">
        <f t="shared" si="17"/>
        <v>1320.9490291262136</v>
      </c>
      <c r="S113" s="5">
        <f t="shared" si="30"/>
        <v>32653.86</v>
      </c>
      <c r="T113" s="82">
        <v>0.19444444444444442</v>
      </c>
      <c r="U113" s="60">
        <f t="shared" si="18"/>
        <v>7530.6730526918527</v>
      </c>
      <c r="V113" s="60">
        <f t="shared" si="19"/>
        <v>1767.0267584913795</v>
      </c>
      <c r="W113" s="60">
        <f t="shared" si="20"/>
        <v>439.2892614070247</v>
      </c>
      <c r="X113" s="60">
        <f t="shared" si="21"/>
        <v>395.35204576340612</v>
      </c>
      <c r="Y113" s="60">
        <f t="shared" si="22"/>
        <v>10132.341118353663</v>
      </c>
      <c r="Z113" s="63">
        <f t="shared" si="23"/>
        <v>0.3102953561494311</v>
      </c>
      <c r="AA113" s="59">
        <f t="shared" si="24"/>
        <v>10132.658695439939</v>
      </c>
      <c r="AB113" s="60"/>
      <c r="AC113" s="59">
        <v>10160.00564487267</v>
      </c>
      <c r="AD113" s="106">
        <f t="shared" si="31"/>
        <v>-27.34694943273098</v>
      </c>
      <c r="AE113" s="106">
        <v>-27.213585144279932</v>
      </c>
      <c r="AF113" s="106">
        <f t="shared" si="32"/>
        <v>-0.1333642884510482</v>
      </c>
      <c r="AG113" s="59"/>
    </row>
    <row r="114" spans="2:33" x14ac:dyDescent="0.35">
      <c r="B114">
        <v>846</v>
      </c>
      <c r="C114" s="17">
        <v>6</v>
      </c>
      <c r="D114" s="22" t="s">
        <v>291</v>
      </c>
      <c r="E114" s="90">
        <v>24.695999999999998</v>
      </c>
      <c r="F114" s="90">
        <f>INDEX('Revised 2019 Lockdown'!H$5:H$257,MATCH(B114,'Revised 2019 Lockdown'!B$5:B$257,0))</f>
        <v>24.695999999999998</v>
      </c>
      <c r="G114" s="90">
        <f t="shared" si="25"/>
        <v>0</v>
      </c>
      <c r="H114" s="5">
        <v>35434.99</v>
      </c>
      <c r="I114" s="5">
        <f>INDEX('Revised 2019 Lockdown'!E$5:E$257,MATCH(B114,'Revised 2019 Lockdown'!B$5:B$257,0))</f>
        <v>35434.99</v>
      </c>
      <c r="J114" s="5">
        <f t="shared" si="26"/>
        <v>0</v>
      </c>
      <c r="K114" s="5">
        <v>0</v>
      </c>
      <c r="L114" s="5">
        <f>INDEX('Revised 2019 Lockdown'!F$5:F$257,MATCH(B114,'Revised 2019 Lockdown'!B$5:B$257,0))</f>
        <v>0</v>
      </c>
      <c r="M114" s="5">
        <f t="shared" si="27"/>
        <v>0</v>
      </c>
      <c r="N114" s="5">
        <v>35434.99</v>
      </c>
      <c r="O114" s="60">
        <f>INDEX('Revised 2019 Lockdown'!G$5:G$257,MATCH(B114,'Revised 2019 Lockdown'!B$5:B$257,0))</f>
        <v>35434.99</v>
      </c>
      <c r="P114" s="5">
        <f t="shared" si="28"/>
        <v>0</v>
      </c>
      <c r="Q114" s="58">
        <f t="shared" si="29"/>
        <v>1434.8473436993845</v>
      </c>
      <c r="R114" s="6">
        <f t="shared" si="17"/>
        <v>1434.8473436993845</v>
      </c>
      <c r="S114" s="5">
        <f t="shared" si="30"/>
        <v>35434.99</v>
      </c>
      <c r="T114" s="82">
        <v>0.2361111111111111</v>
      </c>
      <c r="U114" s="60">
        <f t="shared" si="18"/>
        <v>8172.0606481256809</v>
      </c>
      <c r="V114" s="60">
        <f t="shared" si="19"/>
        <v>1765.3111985316793</v>
      </c>
      <c r="W114" s="60">
        <f t="shared" si="20"/>
        <v>578.85429590890226</v>
      </c>
      <c r="X114" s="60">
        <f t="shared" si="21"/>
        <v>429.02418850652992</v>
      </c>
      <c r="Y114" s="60">
        <f t="shared" si="22"/>
        <v>10945.250331072793</v>
      </c>
      <c r="Z114" s="63">
        <f t="shared" si="23"/>
        <v>0.30888255735567566</v>
      </c>
      <c r="AA114" s="59">
        <f t="shared" si="24"/>
        <v>10945.59338710181</v>
      </c>
      <c r="AB114" s="60"/>
      <c r="AC114" s="59">
        <v>10975.375714515088</v>
      </c>
      <c r="AD114" s="106">
        <f t="shared" si="31"/>
        <v>-29.782327413278836</v>
      </c>
      <c r="AE114" s="106">
        <v>-29.63598504280526</v>
      </c>
      <c r="AF114" s="106">
        <f t="shared" si="32"/>
        <v>-0.14634237047357601</v>
      </c>
      <c r="AG114" s="59"/>
    </row>
    <row r="115" spans="2:33" x14ac:dyDescent="0.35">
      <c r="B115">
        <v>888</v>
      </c>
      <c r="C115" s="17">
        <v>6</v>
      </c>
      <c r="D115" s="22" t="s">
        <v>118</v>
      </c>
      <c r="E115" s="90">
        <v>103.64754100869358</v>
      </c>
      <c r="F115" s="90">
        <f>INDEX('Revised 2019 Lockdown'!H$5:H$257,MATCH(B115,'Revised 2019 Lockdown'!B$5:B$257,0))</f>
        <v>103.64754100869358</v>
      </c>
      <c r="G115" s="90">
        <f t="shared" si="25"/>
        <v>0</v>
      </c>
      <c r="H115" s="5">
        <v>49302.5</v>
      </c>
      <c r="I115" s="5">
        <f>INDEX('Revised 2019 Lockdown'!E$5:E$257,MATCH(B115,'Revised 2019 Lockdown'!B$5:B$257,0))</f>
        <v>49302.5</v>
      </c>
      <c r="J115" s="5">
        <f t="shared" si="26"/>
        <v>0</v>
      </c>
      <c r="K115" s="5">
        <v>0</v>
      </c>
      <c r="L115" s="5">
        <f>INDEX('Revised 2019 Lockdown'!F$5:F$257,MATCH(B115,'Revised 2019 Lockdown'!B$5:B$257,0))</f>
        <v>0</v>
      </c>
      <c r="M115" s="5">
        <f t="shared" si="27"/>
        <v>0</v>
      </c>
      <c r="N115" s="5">
        <v>49302.5</v>
      </c>
      <c r="O115" s="60">
        <f>INDEX('Revised 2019 Lockdown'!G$5:G$257,MATCH(B115,'Revised 2019 Lockdown'!B$5:B$257,0))</f>
        <v>49302.5</v>
      </c>
      <c r="P115" s="5">
        <f t="shared" si="28"/>
        <v>0</v>
      </c>
      <c r="Q115" s="58">
        <f t="shared" si="29"/>
        <v>475.67457481566964</v>
      </c>
      <c r="R115" s="6">
        <f t="shared" si="17"/>
        <v>475.67457481566964</v>
      </c>
      <c r="S115" s="5">
        <f t="shared" si="30"/>
        <v>49302.5</v>
      </c>
      <c r="T115" s="82">
        <v>0.51851851851851849</v>
      </c>
      <c r="U115" s="60">
        <f t="shared" si="18"/>
        <v>11370.202731938585</v>
      </c>
      <c r="V115" s="60">
        <f t="shared" si="19"/>
        <v>7408.8988031631943</v>
      </c>
      <c r="W115" s="60">
        <f t="shared" si="20"/>
        <v>1768.6982027460019</v>
      </c>
      <c r="X115" s="60">
        <f t="shared" si="21"/>
        <v>596.92312750315989</v>
      </c>
      <c r="Y115" s="60">
        <f t="shared" si="22"/>
        <v>21144.722865350941</v>
      </c>
      <c r="Z115" s="63">
        <f t="shared" si="23"/>
        <v>0.42887729558036491</v>
      </c>
      <c r="AA115" s="59">
        <f t="shared" si="24"/>
        <v>21145.385602560364</v>
      </c>
      <c r="AB115" s="60"/>
      <c r="AC115" s="59">
        <v>21196.069243929196</v>
      </c>
      <c r="AD115" s="106">
        <f t="shared" si="31"/>
        <v>-50.683641368832468</v>
      </c>
      <c r="AE115" s="106">
        <v>-50.464779645062663</v>
      </c>
      <c r="AF115" s="106">
        <f t="shared" si="32"/>
        <v>-0.21886172376980539</v>
      </c>
      <c r="AG115" s="59"/>
    </row>
    <row r="116" spans="2:33" x14ac:dyDescent="0.35">
      <c r="B116">
        <v>889</v>
      </c>
      <c r="C116" s="17">
        <v>6</v>
      </c>
      <c r="D116" s="22" t="s">
        <v>119</v>
      </c>
      <c r="E116" s="90">
        <v>36.258728414910088</v>
      </c>
      <c r="F116" s="90">
        <f>INDEX('Revised 2019 Lockdown'!H$5:H$257,MATCH(B116,'Revised 2019 Lockdown'!B$5:B$257,0))</f>
        <v>36.258728414910088</v>
      </c>
      <c r="G116" s="90">
        <f t="shared" si="25"/>
        <v>0</v>
      </c>
      <c r="H116" s="5">
        <v>52828.79</v>
      </c>
      <c r="I116" s="5">
        <f>INDEX('Revised 2019 Lockdown'!E$5:E$257,MATCH(B116,'Revised 2019 Lockdown'!B$5:B$257,0))</f>
        <v>52828.79</v>
      </c>
      <c r="J116" s="5">
        <f t="shared" si="26"/>
        <v>0</v>
      </c>
      <c r="K116" s="5">
        <v>0</v>
      </c>
      <c r="L116" s="5">
        <f>INDEX('Revised 2019 Lockdown'!F$5:F$257,MATCH(B116,'Revised 2019 Lockdown'!B$5:B$257,0))</f>
        <v>0</v>
      </c>
      <c r="M116" s="5">
        <f t="shared" si="27"/>
        <v>0</v>
      </c>
      <c r="N116" s="5">
        <v>52828.79</v>
      </c>
      <c r="O116" s="60">
        <f>INDEX('Revised 2019 Lockdown'!G$5:G$257,MATCH(B116,'Revised 2019 Lockdown'!B$5:B$257,0))</f>
        <v>52828.79</v>
      </c>
      <c r="P116" s="5">
        <f t="shared" si="28"/>
        <v>0</v>
      </c>
      <c r="Q116" s="58">
        <f t="shared" si="29"/>
        <v>1456.9951101284644</v>
      </c>
      <c r="R116" s="6">
        <f t="shared" si="17"/>
        <v>1456.9951101284644</v>
      </c>
      <c r="S116" s="5">
        <f t="shared" si="30"/>
        <v>52828.79</v>
      </c>
      <c r="T116" s="82">
        <v>0.43055555555555558</v>
      </c>
      <c r="U116" s="60">
        <f t="shared" si="18"/>
        <v>12183.440036164693</v>
      </c>
      <c r="V116" s="60">
        <f t="shared" si="19"/>
        <v>2591.8342774279067</v>
      </c>
      <c r="W116" s="60">
        <f t="shared" si="20"/>
        <v>1573.6943380046059</v>
      </c>
      <c r="X116" s="60">
        <f t="shared" si="21"/>
        <v>639.61719079169723</v>
      </c>
      <c r="Y116" s="60">
        <f t="shared" si="22"/>
        <v>16988.585842388904</v>
      </c>
      <c r="Z116" s="63">
        <f t="shared" si="23"/>
        <v>0.32157817437024211</v>
      </c>
      <c r="AA116" s="59">
        <f t="shared" si="24"/>
        <v>16989.118314157153</v>
      </c>
      <c r="AB116" s="60"/>
      <c r="AC116" s="59">
        <v>17035.573934479911</v>
      </c>
      <c r="AD116" s="106">
        <f t="shared" si="31"/>
        <v>-46.455620322758477</v>
      </c>
      <c r="AE116" s="106">
        <v>-46.226180295256199</v>
      </c>
      <c r="AF116" s="106">
        <f t="shared" si="32"/>
        <v>-0.2294400275022781</v>
      </c>
      <c r="AG116" s="59"/>
    </row>
    <row r="117" spans="2:33" x14ac:dyDescent="0.35">
      <c r="B117">
        <v>891</v>
      </c>
      <c r="C117" s="17">
        <v>6</v>
      </c>
      <c r="D117" s="22" t="s">
        <v>120</v>
      </c>
      <c r="E117" s="90">
        <v>291.1434394945195</v>
      </c>
      <c r="F117" s="90">
        <f>INDEX('Revised 2019 Lockdown'!H$5:H$257,MATCH(B117,'Revised 2019 Lockdown'!B$5:B$257,0))</f>
        <v>291.1434394945195</v>
      </c>
      <c r="G117" s="90">
        <f t="shared" si="25"/>
        <v>0</v>
      </c>
      <c r="H117" s="5">
        <v>101210.64</v>
      </c>
      <c r="I117" s="5">
        <f>INDEX('Revised 2019 Lockdown'!E$5:E$257,MATCH(B117,'Revised 2019 Lockdown'!B$5:B$257,0))</f>
        <v>101210.64</v>
      </c>
      <c r="J117" s="5">
        <f t="shared" si="26"/>
        <v>0</v>
      </c>
      <c r="K117" s="5">
        <v>0</v>
      </c>
      <c r="L117" s="5">
        <f>INDEX('Revised 2019 Lockdown'!F$5:F$257,MATCH(B117,'Revised 2019 Lockdown'!B$5:B$257,0))</f>
        <v>0</v>
      </c>
      <c r="M117" s="5">
        <f t="shared" si="27"/>
        <v>0</v>
      </c>
      <c r="N117" s="5">
        <v>101210.64</v>
      </c>
      <c r="O117" s="60">
        <f>INDEX('Revised 2019 Lockdown'!G$5:G$257,MATCH(B117,'Revised 2019 Lockdown'!B$5:B$257,0))</f>
        <v>101210.64</v>
      </c>
      <c r="P117" s="5">
        <f t="shared" si="28"/>
        <v>0</v>
      </c>
      <c r="Q117" s="58">
        <f t="shared" si="29"/>
        <v>347.63153233238216</v>
      </c>
      <c r="R117" s="6">
        <f t="shared" si="17"/>
        <v>347.63153233238216</v>
      </c>
      <c r="S117" s="5">
        <f t="shared" si="30"/>
        <v>101210.64</v>
      </c>
      <c r="T117" s="82">
        <v>0.44444444444444442</v>
      </c>
      <c r="U117" s="60">
        <f t="shared" si="18"/>
        <v>23341.321341296134</v>
      </c>
      <c r="V117" s="60">
        <f t="shared" si="19"/>
        <v>20811.417805260189</v>
      </c>
      <c r="W117" s="60">
        <f t="shared" si="20"/>
        <v>3112.1761788394842</v>
      </c>
      <c r="X117" s="60">
        <f t="shared" si="21"/>
        <v>1225.3936771035224</v>
      </c>
      <c r="Y117" s="60">
        <f t="shared" si="22"/>
        <v>48490.309002499336</v>
      </c>
      <c r="Z117" s="63">
        <f t="shared" si="23"/>
        <v>0.47910287893149711</v>
      </c>
      <c r="AA117" s="59">
        <f t="shared" si="24"/>
        <v>48491.828830036306</v>
      </c>
      <c r="AB117" s="60"/>
      <c r="AC117" s="59">
        <v>48601.567500067009</v>
      </c>
      <c r="AD117" s="106">
        <f t="shared" si="31"/>
        <v>-109.73867003070336</v>
      </c>
      <c r="AE117" s="106">
        <v>-109.28760035322921</v>
      </c>
      <c r="AF117" s="106">
        <f t="shared" si="32"/>
        <v>-0.45106967747415183</v>
      </c>
      <c r="AG117" s="59"/>
    </row>
    <row r="118" spans="2:33" x14ac:dyDescent="0.35">
      <c r="B118">
        <v>897</v>
      </c>
      <c r="C118" s="17">
        <v>6</v>
      </c>
      <c r="D118" s="22" t="s">
        <v>231</v>
      </c>
      <c r="E118" s="90">
        <v>72.361426854937321</v>
      </c>
      <c r="F118" s="90">
        <f>INDEX('Revised 2019 Lockdown'!H$5:H$257,MATCH(B118,'Revised 2019 Lockdown'!B$5:B$257,0))</f>
        <v>72.361426854937321</v>
      </c>
      <c r="G118" s="90">
        <f t="shared" si="25"/>
        <v>0</v>
      </c>
      <c r="H118" s="5">
        <v>311526.77</v>
      </c>
      <c r="I118" s="5">
        <f>INDEX('Revised 2019 Lockdown'!E$5:E$257,MATCH(B118,'Revised 2019 Lockdown'!B$5:B$257,0))</f>
        <v>311526.77</v>
      </c>
      <c r="J118" s="5">
        <f t="shared" si="26"/>
        <v>0</v>
      </c>
      <c r="K118" s="5">
        <v>84</v>
      </c>
      <c r="L118" s="5">
        <f>INDEX('Revised 2019 Lockdown'!F$5:F$257,MATCH(B118,'Revised 2019 Lockdown'!B$5:B$257,0))</f>
        <v>84</v>
      </c>
      <c r="M118" s="5">
        <f t="shared" si="27"/>
        <v>0</v>
      </c>
      <c r="N118" s="5">
        <v>311442.77</v>
      </c>
      <c r="O118" s="60">
        <f>INDEX('Revised 2019 Lockdown'!G$5:G$257,MATCH(B118,'Revised 2019 Lockdown'!B$5:B$257,0))</f>
        <v>311442.77</v>
      </c>
      <c r="P118" s="5">
        <f t="shared" si="28"/>
        <v>0</v>
      </c>
      <c r="Q118" s="58">
        <f t="shared" si="29"/>
        <v>4303.9887898334036</v>
      </c>
      <c r="R118" s="6">
        <f t="shared" si="17"/>
        <v>1517.4271794836054</v>
      </c>
      <c r="S118" s="5">
        <f t="shared" si="30"/>
        <v>109803.19585589676</v>
      </c>
      <c r="T118" s="82">
        <v>0.46527777777777773</v>
      </c>
      <c r="U118" s="60">
        <f t="shared" si="18"/>
        <v>25322.947061433086</v>
      </c>
      <c r="V118" s="60">
        <f t="shared" si="19"/>
        <v>5172.5152724632262</v>
      </c>
      <c r="W118" s="60">
        <f t="shared" si="20"/>
        <v>3534.6613606583678</v>
      </c>
      <c r="X118" s="60">
        <f t="shared" si="21"/>
        <v>1329.4268461060574</v>
      </c>
      <c r="Y118" s="60">
        <f t="shared" si="22"/>
        <v>35359.550540660741</v>
      </c>
      <c r="Z118" s="63">
        <f t="shared" si="23"/>
        <v>0.3220266064665897</v>
      </c>
      <c r="AA118" s="59">
        <f t="shared" si="24"/>
        <v>35360.658811977468</v>
      </c>
      <c r="AB118" s="60"/>
      <c r="AC118" s="59">
        <v>35558.188453983348</v>
      </c>
      <c r="AD118" s="106">
        <f t="shared" si="31"/>
        <v>-197.52964200588031</v>
      </c>
      <c r="AE118" s="106">
        <v>-197.04278300378064</v>
      </c>
      <c r="AF118" s="106">
        <f t="shared" si="32"/>
        <v>-0.48685900209966348</v>
      </c>
      <c r="AG118" s="59"/>
    </row>
    <row r="119" spans="2:33" x14ac:dyDescent="0.35">
      <c r="B119">
        <v>904</v>
      </c>
      <c r="C119" s="17">
        <v>6</v>
      </c>
      <c r="D119" s="22" t="s">
        <v>121</v>
      </c>
      <c r="E119" s="90">
        <v>23.64144748103287</v>
      </c>
      <c r="F119" s="90">
        <f>INDEX('Revised 2019 Lockdown'!H$5:H$257,MATCH(B119,'Revised 2019 Lockdown'!B$5:B$257,0))</f>
        <v>23.64144748103287</v>
      </c>
      <c r="G119" s="90">
        <f t="shared" si="25"/>
        <v>0</v>
      </c>
      <c r="H119" s="5">
        <v>14117.02</v>
      </c>
      <c r="I119" s="5">
        <f>INDEX('Revised 2019 Lockdown'!E$5:E$257,MATCH(B119,'Revised 2019 Lockdown'!B$5:B$257,0))</f>
        <v>14117.02</v>
      </c>
      <c r="J119" s="5">
        <f t="shared" si="26"/>
        <v>0</v>
      </c>
      <c r="K119" s="5">
        <v>0</v>
      </c>
      <c r="L119" s="5">
        <f>INDEX('Revised 2019 Lockdown'!F$5:F$257,MATCH(B119,'Revised 2019 Lockdown'!B$5:B$257,0))</f>
        <v>0</v>
      </c>
      <c r="M119" s="5">
        <f t="shared" si="27"/>
        <v>0</v>
      </c>
      <c r="N119" s="5">
        <v>14117.02</v>
      </c>
      <c r="O119" s="60">
        <f>INDEX('Revised 2019 Lockdown'!G$5:G$257,MATCH(B119,'Revised 2019 Lockdown'!B$5:B$257,0))</f>
        <v>14117.02</v>
      </c>
      <c r="P119" s="5">
        <f t="shared" si="28"/>
        <v>0</v>
      </c>
      <c r="Q119" s="58">
        <f t="shared" si="29"/>
        <v>597.13010429356518</v>
      </c>
      <c r="R119" s="6">
        <f t="shared" si="17"/>
        <v>597.13010429356518</v>
      </c>
      <c r="S119" s="5">
        <f t="shared" si="30"/>
        <v>14117.020000000002</v>
      </c>
      <c r="T119" s="82">
        <v>0.18055555555555555</v>
      </c>
      <c r="U119" s="60">
        <f t="shared" si="18"/>
        <v>3255.6843845815456</v>
      </c>
      <c r="V119" s="60">
        <f t="shared" si="19"/>
        <v>1689.9300286591306</v>
      </c>
      <c r="W119" s="60">
        <f t="shared" si="20"/>
        <v>176.34957083150036</v>
      </c>
      <c r="X119" s="60">
        <f t="shared" si="21"/>
        <v>170.91984644642073</v>
      </c>
      <c r="Y119" s="60">
        <f t="shared" si="22"/>
        <v>5292.8838305185973</v>
      </c>
      <c r="Z119" s="63">
        <f t="shared" si="23"/>
        <v>0.37492925776959984</v>
      </c>
      <c r="AA119" s="59">
        <f t="shared" si="24"/>
        <v>5293.0497249160771</v>
      </c>
      <c r="AB119" s="60"/>
      <c r="AC119" s="59">
        <v>5306.0272908458455</v>
      </c>
      <c r="AD119" s="106">
        <f t="shared" si="31"/>
        <v>-12.977565929768389</v>
      </c>
      <c r="AE119" s="106">
        <v>-12.919314192057755</v>
      </c>
      <c r="AF119" s="106">
        <f t="shared" si="32"/>
        <v>-5.8251737710634188E-2</v>
      </c>
      <c r="AG119" s="59"/>
    </row>
    <row r="120" spans="2:33" x14ac:dyDescent="0.35">
      <c r="B120">
        <v>906</v>
      </c>
      <c r="C120" s="17">
        <v>6</v>
      </c>
      <c r="D120" s="22" t="s">
        <v>292</v>
      </c>
      <c r="E120" s="90">
        <v>251.9</v>
      </c>
      <c r="F120" s="90">
        <f>INDEX('Revised 2019 Lockdown'!H$5:H$257,MATCH(B120,'Revised 2019 Lockdown'!B$5:B$257,0))</f>
        <v>251.9</v>
      </c>
      <c r="G120" s="90">
        <f t="shared" si="25"/>
        <v>0</v>
      </c>
      <c r="H120" s="5">
        <v>183746.4</v>
      </c>
      <c r="I120" s="5">
        <f>INDEX('Revised 2019 Lockdown'!E$5:E$257,MATCH(B120,'Revised 2019 Lockdown'!B$5:B$257,0))</f>
        <v>141116.71</v>
      </c>
      <c r="J120" s="5">
        <f t="shared" si="26"/>
        <v>-42629.69</v>
      </c>
      <c r="K120" s="5">
        <v>58.4</v>
      </c>
      <c r="L120" s="5">
        <f>INDEX('Revised 2019 Lockdown'!F$5:F$257,MATCH(B120,'Revised 2019 Lockdown'!B$5:B$257,0))</f>
        <v>58.4</v>
      </c>
      <c r="M120" s="5">
        <f t="shared" si="27"/>
        <v>0</v>
      </c>
      <c r="N120" s="5">
        <v>183688</v>
      </c>
      <c r="O120" s="60">
        <f>INDEX('Revised 2019 Lockdown'!G$5:G$257,MATCH(B120,'Revised 2019 Lockdown'!B$5:B$257,0))</f>
        <v>141058.31</v>
      </c>
      <c r="P120" s="5">
        <f t="shared" si="28"/>
        <v>-42629.69</v>
      </c>
      <c r="Q120" s="58">
        <f t="shared" si="29"/>
        <v>559.97741167129811</v>
      </c>
      <c r="R120" s="6">
        <f t="shared" si="17"/>
        <v>559.97741167129811</v>
      </c>
      <c r="S120" s="5">
        <f t="shared" si="30"/>
        <v>141058.31</v>
      </c>
      <c r="T120" s="82">
        <v>0.79166666666666674</v>
      </c>
      <c r="U120" s="60">
        <f t="shared" si="18"/>
        <v>32531.039637435009</v>
      </c>
      <c r="V120" s="60">
        <f t="shared" si="19"/>
        <v>18006.231410355118</v>
      </c>
      <c r="W120" s="60">
        <f t="shared" si="20"/>
        <v>7726.1219138908154</v>
      </c>
      <c r="X120" s="60">
        <f t="shared" si="21"/>
        <v>1707.8437719286089</v>
      </c>
      <c r="Y120" s="60">
        <f t="shared" si="22"/>
        <v>59971.236733609549</v>
      </c>
      <c r="Z120" s="63">
        <f t="shared" si="23"/>
        <v>0.42515210010391835</v>
      </c>
      <c r="AA120" s="59">
        <f t="shared" si="24"/>
        <v>59973.116406865687</v>
      </c>
      <c r="AB120" s="60"/>
      <c r="AC120" s="59">
        <v>72842.628192973352</v>
      </c>
      <c r="AD120" s="106">
        <f t="shared" si="31"/>
        <v>-12869.511786107665</v>
      </c>
      <c r="AE120" s="106">
        <v>-12868.843347319904</v>
      </c>
      <c r="AF120" s="106">
        <f t="shared" si="32"/>
        <v>-0.66843878776126076</v>
      </c>
      <c r="AG120" s="59"/>
    </row>
    <row r="121" spans="2:33" x14ac:dyDescent="0.35">
      <c r="B121">
        <v>917</v>
      </c>
      <c r="C121" s="17">
        <v>6</v>
      </c>
      <c r="D121" s="22" t="s">
        <v>293</v>
      </c>
      <c r="E121" s="90">
        <v>188.10307825939799</v>
      </c>
      <c r="F121" s="90">
        <f>INDEX('Revised 2019 Lockdown'!H$5:H$257,MATCH(B121,'Revised 2019 Lockdown'!B$5:B$257,0))</f>
        <v>188.10307825939799</v>
      </c>
      <c r="G121" s="90">
        <f t="shared" si="25"/>
        <v>0</v>
      </c>
      <c r="H121" s="5">
        <v>59201.33</v>
      </c>
      <c r="I121" s="5">
        <f>INDEX('Revised 2019 Lockdown'!E$5:E$257,MATCH(B121,'Revised 2019 Lockdown'!B$5:B$257,0))</f>
        <v>59201.33</v>
      </c>
      <c r="J121" s="5">
        <f t="shared" si="26"/>
        <v>0</v>
      </c>
      <c r="K121" s="5">
        <v>0</v>
      </c>
      <c r="L121" s="5">
        <f>INDEX('Revised 2019 Lockdown'!F$5:F$257,MATCH(B121,'Revised 2019 Lockdown'!B$5:B$257,0))</f>
        <v>0</v>
      </c>
      <c r="M121" s="5">
        <f t="shared" si="27"/>
        <v>0</v>
      </c>
      <c r="N121" s="5">
        <v>59201.33</v>
      </c>
      <c r="O121" s="60">
        <f>INDEX('Revised 2019 Lockdown'!G$5:G$257,MATCH(B121,'Revised 2019 Lockdown'!B$5:B$257,0))</f>
        <v>59201.33</v>
      </c>
      <c r="P121" s="5">
        <f t="shared" si="28"/>
        <v>0</v>
      </c>
      <c r="Q121" s="58">
        <f t="shared" si="29"/>
        <v>314.72812963943181</v>
      </c>
      <c r="R121" s="6">
        <f t="shared" si="17"/>
        <v>314.72812963943181</v>
      </c>
      <c r="S121" s="5">
        <f t="shared" si="30"/>
        <v>59201.33</v>
      </c>
      <c r="T121" s="82">
        <v>0.5625</v>
      </c>
      <c r="U121" s="60">
        <f t="shared" si="18"/>
        <v>13653.08298971447</v>
      </c>
      <c r="V121" s="60">
        <f t="shared" si="19"/>
        <v>13445.921223258672</v>
      </c>
      <c r="W121" s="60">
        <f t="shared" si="20"/>
        <v>2303.957754514317</v>
      </c>
      <c r="X121" s="60">
        <f t="shared" si="21"/>
        <v>716.77182812122396</v>
      </c>
      <c r="Y121" s="60">
        <f t="shared" si="22"/>
        <v>30119.733795608689</v>
      </c>
      <c r="Z121" s="63">
        <f t="shared" si="23"/>
        <v>0.50876785699930538</v>
      </c>
      <c r="AA121" s="59">
        <f t="shared" si="24"/>
        <v>30120.677835804974</v>
      </c>
      <c r="AB121" s="60"/>
      <c r="AC121" s="59">
        <v>30187.942651841386</v>
      </c>
      <c r="AD121" s="106">
        <f t="shared" si="31"/>
        <v>-67.264816036411503</v>
      </c>
      <c r="AE121" s="106">
        <v>-66.992699720092787</v>
      </c>
      <c r="AF121" s="106">
        <f t="shared" si="32"/>
        <v>-0.27211631631871569</v>
      </c>
      <c r="AG121" s="59"/>
    </row>
    <row r="122" spans="2:33" x14ac:dyDescent="0.35">
      <c r="B122">
        <v>957</v>
      </c>
      <c r="C122" s="17">
        <v>6</v>
      </c>
      <c r="D122" s="22" t="s">
        <v>122</v>
      </c>
      <c r="E122" s="90">
        <v>101.14874671311182</v>
      </c>
      <c r="F122" s="90">
        <f>INDEX('Revised 2019 Lockdown'!H$5:H$257,MATCH(B122,'Revised 2019 Lockdown'!B$5:B$257,0))</f>
        <v>101.14874671311182</v>
      </c>
      <c r="G122" s="90">
        <f t="shared" si="25"/>
        <v>0</v>
      </c>
      <c r="H122" s="5">
        <v>40203.24</v>
      </c>
      <c r="I122" s="5">
        <f>INDEX('Revised 2019 Lockdown'!E$5:E$257,MATCH(B122,'Revised 2019 Lockdown'!B$5:B$257,0))</f>
        <v>40203.24</v>
      </c>
      <c r="J122" s="5">
        <f t="shared" si="26"/>
        <v>0</v>
      </c>
      <c r="K122" s="5">
        <v>0</v>
      </c>
      <c r="L122" s="5">
        <f>INDEX('Revised 2019 Lockdown'!F$5:F$257,MATCH(B122,'Revised 2019 Lockdown'!B$5:B$257,0))</f>
        <v>0</v>
      </c>
      <c r="M122" s="5">
        <f t="shared" si="27"/>
        <v>0</v>
      </c>
      <c r="N122" s="5">
        <v>40203.24</v>
      </c>
      <c r="O122" s="60">
        <f>INDEX('Revised 2019 Lockdown'!G$5:G$257,MATCH(B122,'Revised 2019 Lockdown'!B$5:B$257,0))</f>
        <v>40203.24</v>
      </c>
      <c r="P122" s="5">
        <f t="shared" si="28"/>
        <v>0</v>
      </c>
      <c r="Q122" s="58">
        <f t="shared" si="29"/>
        <v>397.46651645648603</v>
      </c>
      <c r="R122" s="6">
        <f t="shared" si="17"/>
        <v>397.46651645648603</v>
      </c>
      <c r="S122" s="5">
        <f t="shared" si="30"/>
        <v>40203.24</v>
      </c>
      <c r="T122" s="82">
        <v>0.46296296296296291</v>
      </c>
      <c r="U122" s="60">
        <f t="shared" si="18"/>
        <v>9271.7202835714725</v>
      </c>
      <c r="V122" s="60">
        <f t="shared" si="19"/>
        <v>7230.2808264537043</v>
      </c>
      <c r="W122" s="60">
        <f t="shared" si="20"/>
        <v>1287.7389282738152</v>
      </c>
      <c r="X122" s="60">
        <f t="shared" si="21"/>
        <v>486.7551089003627</v>
      </c>
      <c r="Y122" s="60">
        <f t="shared" si="22"/>
        <v>18276.495147199352</v>
      </c>
      <c r="Z122" s="63">
        <f t="shared" si="23"/>
        <v>0.45460254315819704</v>
      </c>
      <c r="AA122" s="59">
        <f t="shared" si="24"/>
        <v>18277.067985796908</v>
      </c>
      <c r="AB122" s="60"/>
      <c r="AC122" s="59">
        <v>18319.473739427533</v>
      </c>
      <c r="AD122" s="106">
        <f t="shared" si="31"/>
        <v>-42.405753630624531</v>
      </c>
      <c r="AE122" s="106">
        <v>-42.22973834205186</v>
      </c>
      <c r="AF122" s="106">
        <f t="shared" si="32"/>
        <v>-0.17601528857267112</v>
      </c>
      <c r="AG122" s="59"/>
    </row>
    <row r="123" spans="2:33" x14ac:dyDescent="0.35">
      <c r="B123">
        <v>959</v>
      </c>
      <c r="C123" s="17">
        <v>6</v>
      </c>
      <c r="D123" s="22" t="s">
        <v>123</v>
      </c>
      <c r="E123" s="90">
        <v>330.53645925433352</v>
      </c>
      <c r="F123" s="90">
        <f>INDEX('Revised 2019 Lockdown'!H$5:H$257,MATCH(B123,'Revised 2019 Lockdown'!B$5:B$257,0))</f>
        <v>330.53645925433352</v>
      </c>
      <c r="G123" s="90">
        <f t="shared" si="25"/>
        <v>0</v>
      </c>
      <c r="H123" s="5">
        <v>123075.62</v>
      </c>
      <c r="I123" s="5">
        <f>INDEX('Revised 2019 Lockdown'!E$5:E$257,MATCH(B123,'Revised 2019 Lockdown'!B$5:B$257,0))</f>
        <v>123075.62</v>
      </c>
      <c r="J123" s="5">
        <f t="shared" si="26"/>
        <v>0</v>
      </c>
      <c r="K123" s="5">
        <v>0</v>
      </c>
      <c r="L123" s="5">
        <f>INDEX('Revised 2019 Lockdown'!F$5:F$257,MATCH(B123,'Revised 2019 Lockdown'!B$5:B$257,0))</f>
        <v>0</v>
      </c>
      <c r="M123" s="5">
        <f t="shared" si="27"/>
        <v>0</v>
      </c>
      <c r="N123" s="5">
        <v>123075.62</v>
      </c>
      <c r="O123" s="60">
        <f>INDEX('Revised 2019 Lockdown'!G$5:G$257,MATCH(B123,'Revised 2019 Lockdown'!B$5:B$257,0))</f>
        <v>123075.62</v>
      </c>
      <c r="P123" s="5">
        <f t="shared" si="28"/>
        <v>0</v>
      </c>
      <c r="Q123" s="58">
        <f t="shared" si="29"/>
        <v>372.35111756702952</v>
      </c>
      <c r="R123" s="6">
        <f t="shared" si="17"/>
        <v>372.35111756702952</v>
      </c>
      <c r="S123" s="5">
        <f t="shared" si="30"/>
        <v>123075.62000000001</v>
      </c>
      <c r="T123" s="82">
        <v>0.7685185185185186</v>
      </c>
      <c r="U123" s="60">
        <f t="shared" si="18"/>
        <v>28383.84971875737</v>
      </c>
      <c r="V123" s="60">
        <f t="shared" si="19"/>
        <v>23627.296446577788</v>
      </c>
      <c r="W123" s="60">
        <f t="shared" si="20"/>
        <v>6544.0542407135054</v>
      </c>
      <c r="X123" s="60">
        <f t="shared" si="21"/>
        <v>1490.1208662804211</v>
      </c>
      <c r="Y123" s="60">
        <f t="shared" si="22"/>
        <v>60045.321272329085</v>
      </c>
      <c r="Z123" s="63">
        <f t="shared" si="23"/>
        <v>0.48787340069730367</v>
      </c>
      <c r="AA123" s="59">
        <f t="shared" si="24"/>
        <v>60047.203267610479</v>
      </c>
      <c r="AB123" s="60"/>
      <c r="AC123" s="59">
        <v>60186.65759632564</v>
      </c>
      <c r="AD123" s="106">
        <f t="shared" si="31"/>
        <v>-139.45432871516095</v>
      </c>
      <c r="AE123" s="106">
        <v>-138.86288214233355</v>
      </c>
      <c r="AF123" s="106">
        <f t="shared" si="32"/>
        <v>-0.59144657282740809</v>
      </c>
      <c r="AG123" s="59"/>
    </row>
    <row r="124" spans="2:33" x14ac:dyDescent="0.35">
      <c r="B124">
        <v>969</v>
      </c>
      <c r="C124" s="17">
        <v>6</v>
      </c>
      <c r="D124" s="22" t="s">
        <v>294</v>
      </c>
      <c r="E124" s="90">
        <v>20.253027862922973</v>
      </c>
      <c r="F124" s="90">
        <f>INDEX('Revised 2019 Lockdown'!H$5:H$257,MATCH(B124,'Revised 2019 Lockdown'!B$5:B$257,0))</f>
        <v>20.253027862922973</v>
      </c>
      <c r="G124" s="90">
        <f t="shared" si="25"/>
        <v>0</v>
      </c>
      <c r="H124" s="5">
        <v>87738.63</v>
      </c>
      <c r="I124" s="5">
        <f>INDEX('Revised 2019 Lockdown'!E$5:E$257,MATCH(B124,'Revised 2019 Lockdown'!B$5:B$257,0))</f>
        <v>87738.63</v>
      </c>
      <c r="J124" s="5">
        <f t="shared" si="26"/>
        <v>0</v>
      </c>
      <c r="K124" s="5">
        <v>0</v>
      </c>
      <c r="L124" s="5">
        <f>INDEX('Revised 2019 Lockdown'!F$5:F$257,MATCH(B124,'Revised 2019 Lockdown'!B$5:B$257,0))</f>
        <v>0</v>
      </c>
      <c r="M124" s="5">
        <f t="shared" si="27"/>
        <v>0</v>
      </c>
      <c r="N124" s="5">
        <v>87738.63</v>
      </c>
      <c r="O124" s="60">
        <f>INDEX('Revised 2019 Lockdown'!G$5:G$257,MATCH(B124,'Revised 2019 Lockdown'!B$5:B$257,0))</f>
        <v>87738.63</v>
      </c>
      <c r="P124" s="5">
        <f t="shared" si="28"/>
        <v>0</v>
      </c>
      <c r="Q124" s="58">
        <f t="shared" si="29"/>
        <v>4332.124094917298</v>
      </c>
      <c r="R124" s="6">
        <f t="shared" si="17"/>
        <v>1517.4271794836054</v>
      </c>
      <c r="S124" s="5">
        <f t="shared" si="30"/>
        <v>30732.494946038081</v>
      </c>
      <c r="T124" s="82">
        <v>0.35763888888888884</v>
      </c>
      <c r="U124" s="60">
        <f t="shared" si="18"/>
        <v>7087.5654986000891</v>
      </c>
      <c r="V124" s="60">
        <f t="shared" si="19"/>
        <v>1447.7201526802742</v>
      </c>
      <c r="W124" s="60">
        <f t="shared" si="20"/>
        <v>760.43671495396768</v>
      </c>
      <c r="X124" s="60">
        <f t="shared" si="21"/>
        <v>372.08938693096906</v>
      </c>
      <c r="Y124" s="60">
        <f t="shared" si="22"/>
        <v>9667.8117531653006</v>
      </c>
      <c r="Z124" s="63">
        <f t="shared" si="23"/>
        <v>0.31457946288254868</v>
      </c>
      <c r="AA124" s="59">
        <f t="shared" si="24"/>
        <v>9668.1147705480926</v>
      </c>
      <c r="AB124" s="60"/>
      <c r="AC124" s="59">
        <v>9721.960923284425</v>
      </c>
      <c r="AD124" s="106">
        <f t="shared" si="31"/>
        <v>-53.846152736332442</v>
      </c>
      <c r="AE124" s="106">
        <v>-53.713539343219963</v>
      </c>
      <c r="AF124" s="106">
        <f t="shared" si="32"/>
        <v>-0.13261339311247866</v>
      </c>
      <c r="AG124" s="59"/>
    </row>
    <row r="125" spans="2:33" x14ac:dyDescent="0.35">
      <c r="B125">
        <v>970</v>
      </c>
      <c r="C125" s="17">
        <v>6</v>
      </c>
      <c r="D125" s="22" t="s">
        <v>124</v>
      </c>
      <c r="E125" s="90">
        <v>155.95183681022218</v>
      </c>
      <c r="F125" s="90">
        <f>INDEX('Revised 2019 Lockdown'!H$5:H$257,MATCH(B125,'Revised 2019 Lockdown'!B$5:B$257,0))</f>
        <v>155.95183681022218</v>
      </c>
      <c r="G125" s="90">
        <f t="shared" si="25"/>
        <v>0</v>
      </c>
      <c r="H125" s="5">
        <v>73920.09</v>
      </c>
      <c r="I125" s="5">
        <f>INDEX('Revised 2019 Lockdown'!E$5:E$257,MATCH(B125,'Revised 2019 Lockdown'!B$5:B$257,0))</f>
        <v>73920.09</v>
      </c>
      <c r="J125" s="5">
        <f t="shared" si="26"/>
        <v>0</v>
      </c>
      <c r="K125" s="5">
        <v>161.72</v>
      </c>
      <c r="L125" s="5">
        <f>INDEX('Revised 2019 Lockdown'!F$5:F$257,MATCH(B125,'Revised 2019 Lockdown'!B$5:B$257,0))</f>
        <v>161.72</v>
      </c>
      <c r="M125" s="5">
        <f t="shared" si="27"/>
        <v>0</v>
      </c>
      <c r="N125" s="5">
        <v>73758.37</v>
      </c>
      <c r="O125" s="60">
        <f>INDEX('Revised 2019 Lockdown'!G$5:G$257,MATCH(B125,'Revised 2019 Lockdown'!B$5:B$257,0))</f>
        <v>73758.37</v>
      </c>
      <c r="P125" s="5">
        <f t="shared" si="28"/>
        <v>0</v>
      </c>
      <c r="Q125" s="58">
        <f t="shared" si="29"/>
        <v>472.9560838052621</v>
      </c>
      <c r="R125" s="6">
        <f t="shared" si="17"/>
        <v>472.9560838052621</v>
      </c>
      <c r="S125" s="5">
        <f t="shared" si="30"/>
        <v>73758.37</v>
      </c>
      <c r="T125" s="82">
        <v>0.40277777777777773</v>
      </c>
      <c r="U125" s="60">
        <f t="shared" si="18"/>
        <v>17010.245323813942</v>
      </c>
      <c r="V125" s="60">
        <f t="shared" si="19"/>
        <v>11147.696953055967</v>
      </c>
      <c r="W125" s="60">
        <f t="shared" si="20"/>
        <v>2055.4046432941841</v>
      </c>
      <c r="X125" s="60">
        <f t="shared" si="21"/>
        <v>893.01915521393914</v>
      </c>
      <c r="Y125" s="60">
        <f t="shared" si="22"/>
        <v>31106.366075378031</v>
      </c>
      <c r="Z125" s="63">
        <f t="shared" si="23"/>
        <v>0.42173337175669734</v>
      </c>
      <c r="AA125" s="59">
        <f t="shared" si="24"/>
        <v>31107.341039504037</v>
      </c>
      <c r="AB125" s="60"/>
      <c r="AC125" s="59">
        <v>31181.497810726276</v>
      </c>
      <c r="AD125" s="106">
        <f t="shared" si="31"/>
        <v>-74.156771222238604</v>
      </c>
      <c r="AE125" s="106">
        <v>-73.833339092139795</v>
      </c>
      <c r="AF125" s="106">
        <f t="shared" si="32"/>
        <v>-0.32343213009880856</v>
      </c>
      <c r="AG125" s="59"/>
    </row>
    <row r="126" spans="2:33" x14ac:dyDescent="0.35">
      <c r="B126">
        <v>978</v>
      </c>
      <c r="C126" s="17">
        <v>6</v>
      </c>
      <c r="D126" s="22" t="s">
        <v>242</v>
      </c>
      <c r="E126" s="90">
        <v>25.008086578565759</v>
      </c>
      <c r="F126" s="90">
        <f>INDEX('Revised 2019 Lockdown'!H$5:H$257,MATCH(B126,'Revised 2019 Lockdown'!B$5:B$257,0))</f>
        <v>25.008086578565759</v>
      </c>
      <c r="G126" s="90">
        <f t="shared" si="25"/>
        <v>0</v>
      </c>
      <c r="H126" s="5">
        <v>28052.51</v>
      </c>
      <c r="I126" s="5">
        <f>INDEX('Revised 2019 Lockdown'!E$5:E$257,MATCH(B126,'Revised 2019 Lockdown'!B$5:B$257,0))</f>
        <v>28052.51</v>
      </c>
      <c r="J126" s="5">
        <f t="shared" si="26"/>
        <v>0</v>
      </c>
      <c r="K126" s="5">
        <v>0</v>
      </c>
      <c r="L126" s="5">
        <f>INDEX('Revised 2019 Lockdown'!F$5:F$257,MATCH(B126,'Revised 2019 Lockdown'!B$5:B$257,0))</f>
        <v>0</v>
      </c>
      <c r="M126" s="5">
        <f t="shared" si="27"/>
        <v>0</v>
      </c>
      <c r="N126" s="5">
        <v>28052.51</v>
      </c>
      <c r="O126" s="60">
        <f>INDEX('Revised 2019 Lockdown'!G$5:G$257,MATCH(B126,'Revised 2019 Lockdown'!B$5:B$257,0))</f>
        <v>28052.51</v>
      </c>
      <c r="P126" s="5">
        <f t="shared" si="28"/>
        <v>0</v>
      </c>
      <c r="Q126" s="58">
        <f t="shared" si="29"/>
        <v>1121.7375592438805</v>
      </c>
      <c r="R126" s="6">
        <f t="shared" si="17"/>
        <v>1121.7375592438805</v>
      </c>
      <c r="S126" s="5">
        <f t="shared" si="30"/>
        <v>28052.510000000002</v>
      </c>
      <c r="T126" s="82">
        <v>0.39351851851851855</v>
      </c>
      <c r="U126" s="60">
        <f t="shared" si="18"/>
        <v>6469.5040989753961</v>
      </c>
      <c r="V126" s="60">
        <f t="shared" si="19"/>
        <v>1787.6196667878169</v>
      </c>
      <c r="W126" s="60">
        <f t="shared" si="20"/>
        <v>763.76090057348426</v>
      </c>
      <c r="X126" s="60">
        <f t="shared" si="21"/>
        <v>339.64184379116</v>
      </c>
      <c r="Y126" s="60">
        <f t="shared" si="22"/>
        <v>9360.5265101278583</v>
      </c>
      <c r="Z126" s="63">
        <f t="shared" si="23"/>
        <v>0.33367875138901504</v>
      </c>
      <c r="AA126" s="59">
        <f t="shared" si="24"/>
        <v>9360.8198962960068</v>
      </c>
      <c r="AB126" s="60"/>
      <c r="AC126" s="59">
        <v>9385.8060530945841</v>
      </c>
      <c r="AD126" s="106">
        <f t="shared" si="31"/>
        <v>-24.986156798577213</v>
      </c>
      <c r="AE126" s="106">
        <v>-24.864602324378211</v>
      </c>
      <c r="AF126" s="106">
        <f t="shared" si="32"/>
        <v>-0.12155447419900156</v>
      </c>
      <c r="AG126" s="59"/>
    </row>
    <row r="127" spans="2:33" x14ac:dyDescent="0.35">
      <c r="B127">
        <v>986</v>
      </c>
      <c r="C127" s="17">
        <v>6</v>
      </c>
      <c r="D127" s="22" t="s">
        <v>126</v>
      </c>
      <c r="E127" s="90">
        <v>7.8194298879459128</v>
      </c>
      <c r="F127" s="90">
        <f>INDEX('Revised 2019 Lockdown'!H$5:H$257,MATCH(B127,'Revised 2019 Lockdown'!B$5:B$257,0))</f>
        <v>7.8194298879459128</v>
      </c>
      <c r="G127" s="90">
        <f t="shared" si="25"/>
        <v>0</v>
      </c>
      <c r="H127" s="5">
        <v>43562.55</v>
      </c>
      <c r="I127" s="5">
        <f>INDEX('Revised 2019 Lockdown'!E$5:E$257,MATCH(B127,'Revised 2019 Lockdown'!B$5:B$257,0))</f>
        <v>43562.55</v>
      </c>
      <c r="J127" s="5">
        <f t="shared" si="26"/>
        <v>0</v>
      </c>
      <c r="K127" s="5">
        <v>0</v>
      </c>
      <c r="L127" s="5">
        <f>INDEX('Revised 2019 Lockdown'!F$5:F$257,MATCH(B127,'Revised 2019 Lockdown'!B$5:B$257,0))</f>
        <v>0</v>
      </c>
      <c r="M127" s="5">
        <f t="shared" si="27"/>
        <v>0</v>
      </c>
      <c r="N127" s="5">
        <v>43562.55</v>
      </c>
      <c r="O127" s="60">
        <f>INDEX('Revised 2019 Lockdown'!G$5:G$257,MATCH(B127,'Revised 2019 Lockdown'!B$5:B$257,0))</f>
        <v>43562.55</v>
      </c>
      <c r="P127" s="5">
        <f t="shared" si="28"/>
        <v>0</v>
      </c>
      <c r="Q127" s="58">
        <f t="shared" si="29"/>
        <v>5571.0647226537712</v>
      </c>
      <c r="R127" s="6">
        <f t="shared" si="17"/>
        <v>1517.4271794836054</v>
      </c>
      <c r="S127" s="5">
        <f t="shared" si="30"/>
        <v>11865.415440035571</v>
      </c>
      <c r="T127" s="82">
        <v>0.22453703703703703</v>
      </c>
      <c r="U127" s="60">
        <f t="shared" si="18"/>
        <v>2736.4165925029911</v>
      </c>
      <c r="V127" s="60">
        <f t="shared" si="19"/>
        <v>558.94586764351448</v>
      </c>
      <c r="W127" s="60">
        <f t="shared" si="20"/>
        <v>184.32806213388201</v>
      </c>
      <c r="X127" s="60">
        <f t="shared" si="21"/>
        <v>143.65885895421761</v>
      </c>
      <c r="Y127" s="60">
        <f t="shared" si="22"/>
        <v>3623.3493812346051</v>
      </c>
      <c r="Z127" s="63">
        <f t="shared" si="23"/>
        <v>0.30537062941841192</v>
      </c>
      <c r="AA127" s="59">
        <f t="shared" si="24"/>
        <v>3623.4629475590718</v>
      </c>
      <c r="AB127" s="60"/>
      <c r="AC127" s="59">
        <v>3643.5648371485136</v>
      </c>
      <c r="AD127" s="106">
        <f t="shared" si="31"/>
        <v>-20.101889589441726</v>
      </c>
      <c r="AE127" s="106">
        <v>-20.052432893905916</v>
      </c>
      <c r="AF127" s="106">
        <f t="shared" si="32"/>
        <v>-4.9456695535809558E-2</v>
      </c>
      <c r="AG127" s="59"/>
    </row>
    <row r="128" spans="2:33" x14ac:dyDescent="0.35">
      <c r="B128">
        <v>988</v>
      </c>
      <c r="C128" s="17">
        <v>6</v>
      </c>
      <c r="D128" s="22" t="s">
        <v>127</v>
      </c>
      <c r="E128" s="90">
        <v>133.20495744908894</v>
      </c>
      <c r="F128" s="90">
        <f>INDEX('Revised 2019 Lockdown'!H$5:H$257,MATCH(B128,'Revised 2019 Lockdown'!B$5:B$257,0))</f>
        <v>133.20495744908894</v>
      </c>
      <c r="G128" s="90">
        <f t="shared" si="25"/>
        <v>0</v>
      </c>
      <c r="H128" s="5">
        <v>132703.88</v>
      </c>
      <c r="I128" s="5">
        <f>INDEX('Revised 2019 Lockdown'!E$5:E$257,MATCH(B128,'Revised 2019 Lockdown'!B$5:B$257,0))</f>
        <v>132703.88</v>
      </c>
      <c r="J128" s="5">
        <f t="shared" si="26"/>
        <v>0</v>
      </c>
      <c r="K128" s="5">
        <v>91</v>
      </c>
      <c r="L128" s="5">
        <f>INDEX('Revised 2019 Lockdown'!F$5:F$257,MATCH(B128,'Revised 2019 Lockdown'!B$5:B$257,0))</f>
        <v>91</v>
      </c>
      <c r="M128" s="5">
        <f t="shared" si="27"/>
        <v>0</v>
      </c>
      <c r="N128" s="5">
        <v>132612.88</v>
      </c>
      <c r="O128" s="60">
        <f>INDEX('Revised 2019 Lockdown'!G$5:G$257,MATCH(B128,'Revised 2019 Lockdown'!B$5:B$257,0))</f>
        <v>132612.88</v>
      </c>
      <c r="P128" s="5">
        <f t="shared" si="28"/>
        <v>0</v>
      </c>
      <c r="Q128" s="58">
        <f t="shared" si="29"/>
        <v>995.55513953513912</v>
      </c>
      <c r="R128" s="6">
        <f t="shared" si="17"/>
        <v>995.55513953513912</v>
      </c>
      <c r="S128" s="5">
        <f t="shared" si="30"/>
        <v>132612.88</v>
      </c>
      <c r="T128" s="82">
        <v>0.67361111111111116</v>
      </c>
      <c r="U128" s="60">
        <f t="shared" si="18"/>
        <v>30583.344261776656</v>
      </c>
      <c r="V128" s="60">
        <f t="shared" si="19"/>
        <v>9521.7121430520128</v>
      </c>
      <c r="W128" s="60">
        <f t="shared" si="20"/>
        <v>6180.3841529006995</v>
      </c>
      <c r="X128" s="60">
        <f t="shared" si="21"/>
        <v>1605.5919086618576</v>
      </c>
      <c r="Y128" s="60">
        <f t="shared" si="22"/>
        <v>47891.032466391225</v>
      </c>
      <c r="Z128" s="63">
        <f t="shared" si="23"/>
        <v>0.36113409546939351</v>
      </c>
      <c r="AA128" s="59">
        <f t="shared" si="24"/>
        <v>47892.53351085585</v>
      </c>
      <c r="AB128" s="60"/>
      <c r="AC128" s="59">
        <v>48019.647570264875</v>
      </c>
      <c r="AD128" s="106">
        <f t="shared" si="31"/>
        <v>-127.11405940902478</v>
      </c>
      <c r="AE128" s="106">
        <v>-126.50277980741521</v>
      </c>
      <c r="AF128" s="106">
        <f t="shared" si="32"/>
        <v>-0.61127960160956718</v>
      </c>
      <c r="AG128" s="59"/>
    </row>
    <row r="129" spans="2:33" x14ac:dyDescent="0.35">
      <c r="B129">
        <v>989</v>
      </c>
      <c r="C129" s="17">
        <v>6</v>
      </c>
      <c r="D129" s="22" t="s">
        <v>128</v>
      </c>
      <c r="E129" s="90">
        <v>326.70423415609696</v>
      </c>
      <c r="F129" s="90">
        <f>INDEX('Revised 2019 Lockdown'!H$5:H$257,MATCH(B129,'Revised 2019 Lockdown'!B$5:B$257,0))</f>
        <v>311.67824861466573</v>
      </c>
      <c r="G129" s="90">
        <f t="shared" si="25"/>
        <v>-15.025985541431226</v>
      </c>
      <c r="H129" s="5">
        <v>300886.87</v>
      </c>
      <c r="I129" s="5">
        <f>INDEX('Revised 2019 Lockdown'!E$5:E$257,MATCH(B129,'Revised 2019 Lockdown'!B$5:B$257,0))</f>
        <v>276934.09999999998</v>
      </c>
      <c r="J129" s="5">
        <f t="shared" si="26"/>
        <v>-23952.770000000019</v>
      </c>
      <c r="K129" s="5">
        <v>37627.469999999994</v>
      </c>
      <c r="L129" s="5">
        <f>INDEX('Revised 2019 Lockdown'!F$5:F$257,MATCH(B129,'Revised 2019 Lockdown'!B$5:B$257,0))</f>
        <v>36351.42</v>
      </c>
      <c r="M129" s="5">
        <f t="shared" si="27"/>
        <v>-1276.0499999999956</v>
      </c>
      <c r="N129" s="5">
        <v>263259.40000000002</v>
      </c>
      <c r="O129" s="60">
        <f>INDEX('Revised 2019 Lockdown'!G$5:G$257,MATCH(B129,'Revised 2019 Lockdown'!B$5:B$257,0))</f>
        <v>240582.68</v>
      </c>
      <c r="P129" s="5">
        <f t="shared" si="28"/>
        <v>-22676.72000000003</v>
      </c>
      <c r="Q129" s="58">
        <f t="shared" si="29"/>
        <v>771.89435281201588</v>
      </c>
      <c r="R129" s="6">
        <f t="shared" si="17"/>
        <v>771.89435281201588</v>
      </c>
      <c r="S129" s="5">
        <f t="shared" si="30"/>
        <v>240582.68</v>
      </c>
      <c r="T129" s="82">
        <v>0.53703703703703698</v>
      </c>
      <c r="U129" s="60">
        <f t="shared" si="18"/>
        <v>55483.471332956869</v>
      </c>
      <c r="V129" s="60">
        <f t="shared" si="19"/>
        <v>22279.280151369057</v>
      </c>
      <c r="W129" s="60">
        <f t="shared" si="20"/>
        <v>8939.0037147541607</v>
      </c>
      <c r="X129" s="60">
        <f t="shared" si="21"/>
        <v>2912.8211707051746</v>
      </c>
      <c r="Y129" s="60">
        <f t="shared" si="22"/>
        <v>89614.576369785267</v>
      </c>
      <c r="Z129" s="63">
        <f t="shared" si="23"/>
        <v>0.37248972523618606</v>
      </c>
      <c r="AA129" s="59">
        <f t="shared" si="24"/>
        <v>89617.385151656999</v>
      </c>
      <c r="AB129" s="60"/>
      <c r="AC129" s="59">
        <v>97289.273309413169</v>
      </c>
      <c r="AD129" s="106">
        <f t="shared" si="31"/>
        <v>-7671.8881577561697</v>
      </c>
      <c r="AE129" s="106">
        <v>-7670.8045091671665</v>
      </c>
      <c r="AF129" s="106">
        <f t="shared" si="32"/>
        <v>-1.0836485890031327</v>
      </c>
      <c r="AG129" s="59"/>
    </row>
    <row r="130" spans="2:33" x14ac:dyDescent="0.35">
      <c r="B130">
        <v>39</v>
      </c>
      <c r="C130" s="17">
        <v>7</v>
      </c>
      <c r="D130" s="22" t="s">
        <v>129</v>
      </c>
      <c r="E130" s="90">
        <v>314.39</v>
      </c>
      <c r="F130" s="90">
        <f>INDEX('Revised 2019 Lockdown'!H$5:H$257,MATCH(B130,'Revised 2019 Lockdown'!B$5:B$257,0))</f>
        <v>314.39</v>
      </c>
      <c r="G130" s="90">
        <f t="shared" si="25"/>
        <v>0</v>
      </c>
      <c r="H130" s="5">
        <v>131981.43</v>
      </c>
      <c r="I130" s="5">
        <f>INDEX('Revised 2019 Lockdown'!E$5:E$257,MATCH(B130,'Revised 2019 Lockdown'!B$5:B$257,0))</f>
        <v>131981.43</v>
      </c>
      <c r="J130" s="5">
        <f t="shared" si="26"/>
        <v>0</v>
      </c>
      <c r="K130" s="5">
        <v>1501.53</v>
      </c>
      <c r="L130" s="5">
        <f>INDEX('Revised 2019 Lockdown'!F$5:F$257,MATCH(B130,'Revised 2019 Lockdown'!B$5:B$257,0))</f>
        <v>1501.53</v>
      </c>
      <c r="M130" s="5">
        <f t="shared" si="27"/>
        <v>0</v>
      </c>
      <c r="N130" s="5">
        <v>130479.9</v>
      </c>
      <c r="O130" s="60">
        <f>INDEX('Revised 2019 Lockdown'!G$5:G$257,MATCH(B130,'Revised 2019 Lockdown'!B$5:B$257,0))</f>
        <v>130479.9</v>
      </c>
      <c r="P130" s="5">
        <f t="shared" si="28"/>
        <v>0</v>
      </c>
      <c r="Q130" s="58">
        <f t="shared" si="29"/>
        <v>415.02560514011259</v>
      </c>
      <c r="R130" s="6">
        <f t="shared" si="17"/>
        <v>415.02560514011259</v>
      </c>
      <c r="S130" s="5">
        <f t="shared" si="30"/>
        <v>130479.9</v>
      </c>
      <c r="T130" s="82">
        <v>0.60185185185185186</v>
      </c>
      <c r="U130" s="60">
        <f t="shared" si="18"/>
        <v>30091.433810518192</v>
      </c>
      <c r="V130" s="60">
        <f t="shared" si="19"/>
        <v>22473.120655424951</v>
      </c>
      <c r="W130" s="60">
        <f t="shared" si="20"/>
        <v>5433.1755491213398</v>
      </c>
      <c r="X130" s="60">
        <f t="shared" si="21"/>
        <v>1579.7671514487001</v>
      </c>
      <c r="Y130" s="60">
        <f t="shared" si="22"/>
        <v>59577.497166513189</v>
      </c>
      <c r="Z130" s="63">
        <f t="shared" si="23"/>
        <v>0.45660287267627575</v>
      </c>
      <c r="AA130" s="59">
        <f t="shared" si="24"/>
        <v>59579.364498824325</v>
      </c>
      <c r="AB130" s="60"/>
      <c r="AC130" s="59">
        <v>59719.426478088775</v>
      </c>
      <c r="AD130" s="106">
        <f t="shared" si="31"/>
        <v>-140.0619792644502</v>
      </c>
      <c r="AE130" s="106">
        <v>-139.47084641877882</v>
      </c>
      <c r="AF130" s="106">
        <f t="shared" si="32"/>
        <v>-0.5911328456713818</v>
      </c>
      <c r="AG130" s="59"/>
    </row>
    <row r="131" spans="2:33" x14ac:dyDescent="0.35">
      <c r="B131">
        <v>59</v>
      </c>
      <c r="C131" s="17">
        <v>7</v>
      </c>
      <c r="D131" s="22" t="s">
        <v>130</v>
      </c>
      <c r="E131" s="90">
        <v>199.24752698257859</v>
      </c>
      <c r="F131" s="90">
        <f>INDEX('Revised 2019 Lockdown'!H$5:H$257,MATCH(B131,'Revised 2019 Lockdown'!B$5:B$257,0))</f>
        <v>199.24752698257859</v>
      </c>
      <c r="G131" s="90">
        <f t="shared" si="25"/>
        <v>0</v>
      </c>
      <c r="H131" s="5">
        <v>176388.86</v>
      </c>
      <c r="I131" s="5">
        <f>INDEX('Revised 2019 Lockdown'!E$5:E$257,MATCH(B131,'Revised 2019 Lockdown'!B$5:B$257,0))</f>
        <v>176388.86</v>
      </c>
      <c r="J131" s="5">
        <f t="shared" si="26"/>
        <v>0</v>
      </c>
      <c r="K131" s="5">
        <v>0</v>
      </c>
      <c r="L131" s="5">
        <f>INDEX('Revised 2019 Lockdown'!F$5:F$257,MATCH(B131,'Revised 2019 Lockdown'!B$5:B$257,0))</f>
        <v>0</v>
      </c>
      <c r="M131" s="5">
        <f t="shared" si="27"/>
        <v>0</v>
      </c>
      <c r="N131" s="5">
        <v>176388.86</v>
      </c>
      <c r="O131" s="60">
        <f>INDEX('Revised 2019 Lockdown'!G$5:G$257,MATCH(B131,'Revised 2019 Lockdown'!B$5:B$257,0))</f>
        <v>176388.86</v>
      </c>
      <c r="P131" s="5">
        <f t="shared" si="28"/>
        <v>0</v>
      </c>
      <c r="Q131" s="58">
        <f t="shared" si="29"/>
        <v>885.27502785729791</v>
      </c>
      <c r="R131" s="6">
        <f t="shared" si="17"/>
        <v>782.61515726829293</v>
      </c>
      <c r="S131" s="5">
        <f t="shared" si="30"/>
        <v>155934.13466478919</v>
      </c>
      <c r="T131" s="82">
        <v>0.22222222222222221</v>
      </c>
      <c r="U131" s="60">
        <f t="shared" si="18"/>
        <v>35961.720480058109</v>
      </c>
      <c r="V131" s="60">
        <f t="shared" si="19"/>
        <v>14242.544973359609</v>
      </c>
      <c r="W131" s="60">
        <f t="shared" si="20"/>
        <v>2397.4480320038738</v>
      </c>
      <c r="X131" s="60">
        <f t="shared" si="21"/>
        <v>1887.950739792198</v>
      </c>
      <c r="Y131" s="60">
        <f t="shared" si="22"/>
        <v>54489.66422521379</v>
      </c>
      <c r="Z131" s="63">
        <f t="shared" si="23"/>
        <v>0.349440257852137</v>
      </c>
      <c r="AA131" s="59">
        <f t="shared" si="24"/>
        <v>54491.372090019628</v>
      </c>
      <c r="AB131" s="60"/>
      <c r="AC131" s="59">
        <v>55072.989908104159</v>
      </c>
      <c r="AD131" s="106">
        <f t="shared" si="31"/>
        <v>-581.61781808453088</v>
      </c>
      <c r="AE131" s="106">
        <v>-584.65647970846476</v>
      </c>
      <c r="AF131" s="106">
        <f t="shared" si="32"/>
        <v>3.0386616239338764</v>
      </c>
      <c r="AG131" s="59"/>
    </row>
    <row r="132" spans="2:33" x14ac:dyDescent="0.35">
      <c r="B132">
        <v>100</v>
      </c>
      <c r="C132" s="17">
        <v>7</v>
      </c>
      <c r="D132" s="22" t="s">
        <v>244</v>
      </c>
      <c r="E132" s="90">
        <v>28.459906979550897</v>
      </c>
      <c r="F132" s="90">
        <f>INDEX('Revised 2019 Lockdown'!H$5:H$257,MATCH(B132,'Revised 2019 Lockdown'!B$5:B$257,0))</f>
        <v>28.459906979550897</v>
      </c>
      <c r="G132" s="90">
        <f t="shared" si="25"/>
        <v>0</v>
      </c>
      <c r="H132" s="5">
        <v>31057.59</v>
      </c>
      <c r="I132" s="5">
        <f>INDEX('Revised 2019 Lockdown'!E$5:E$257,MATCH(B132,'Revised 2019 Lockdown'!B$5:B$257,0))</f>
        <v>31057.59</v>
      </c>
      <c r="J132" s="5">
        <f t="shared" si="26"/>
        <v>0</v>
      </c>
      <c r="K132" s="5">
        <v>0</v>
      </c>
      <c r="L132" s="5">
        <f>INDEX('Revised 2019 Lockdown'!F$5:F$257,MATCH(B132,'Revised 2019 Lockdown'!B$5:B$257,0))</f>
        <v>0</v>
      </c>
      <c r="M132" s="5">
        <f t="shared" si="27"/>
        <v>0</v>
      </c>
      <c r="N132" s="5">
        <v>31057.59</v>
      </c>
      <c r="O132" s="60">
        <f>INDEX('Revised 2019 Lockdown'!G$5:G$257,MATCH(B132,'Revised 2019 Lockdown'!B$5:B$257,0))</f>
        <v>31057.59</v>
      </c>
      <c r="P132" s="5">
        <f t="shared" si="28"/>
        <v>0</v>
      </c>
      <c r="Q132" s="58">
        <f t="shared" si="29"/>
        <v>1091.2751760684109</v>
      </c>
      <c r="R132" s="6">
        <f t="shared" si="17"/>
        <v>782.61515726829293</v>
      </c>
      <c r="S132" s="5">
        <f t="shared" si="30"/>
        <v>22273.154576642213</v>
      </c>
      <c r="T132" s="82">
        <v>6.0185185185185182E-2</v>
      </c>
      <c r="U132" s="60">
        <f t="shared" si="18"/>
        <v>5136.6620965717284</v>
      </c>
      <c r="V132" s="60">
        <f t="shared" si="19"/>
        <v>2034.3615362881073</v>
      </c>
      <c r="W132" s="60">
        <f t="shared" si="20"/>
        <v>92.745287854767312</v>
      </c>
      <c r="X132" s="60">
        <f t="shared" si="21"/>
        <v>269.66910581107624</v>
      </c>
      <c r="Y132" s="60">
        <f t="shared" si="22"/>
        <v>7533.4380265256796</v>
      </c>
      <c r="Z132" s="63">
        <f t="shared" si="23"/>
        <v>0.33822950406970964</v>
      </c>
      <c r="AA132" s="59">
        <f t="shared" si="24"/>
        <v>7533.6741464184233</v>
      </c>
      <c r="AB132" s="60"/>
      <c r="AC132" s="59">
        <v>7613.2646370467182</v>
      </c>
      <c r="AD132" s="106">
        <f t="shared" si="31"/>
        <v>-79.590490628294901</v>
      </c>
      <c r="AE132" s="106">
        <v>-80.00560561453949</v>
      </c>
      <c r="AF132" s="106">
        <f t="shared" si="32"/>
        <v>0.41511498624458909</v>
      </c>
      <c r="AG132" s="59"/>
    </row>
    <row r="133" spans="2:33" x14ac:dyDescent="0.35">
      <c r="B133">
        <v>128</v>
      </c>
      <c r="C133" s="17">
        <v>7</v>
      </c>
      <c r="D133" s="22" t="s">
        <v>131</v>
      </c>
      <c r="E133" s="90">
        <v>124.30075709261769</v>
      </c>
      <c r="F133" s="90">
        <f>INDEX('Revised 2019 Lockdown'!H$5:H$257,MATCH(B133,'Revised 2019 Lockdown'!B$5:B$257,0))</f>
        <v>124.30075709261769</v>
      </c>
      <c r="G133" s="90">
        <f t="shared" si="25"/>
        <v>0</v>
      </c>
      <c r="H133" s="5">
        <v>94207.63</v>
      </c>
      <c r="I133" s="5">
        <f>INDEX('Revised 2019 Lockdown'!E$5:E$257,MATCH(B133,'Revised 2019 Lockdown'!B$5:B$257,0))</f>
        <v>94207.63</v>
      </c>
      <c r="J133" s="5">
        <f t="shared" si="26"/>
        <v>0</v>
      </c>
      <c r="K133" s="5">
        <v>265.42</v>
      </c>
      <c r="L133" s="5">
        <f>INDEX('Revised 2019 Lockdown'!F$5:F$257,MATCH(B133,'Revised 2019 Lockdown'!B$5:B$257,0))</f>
        <v>265.42</v>
      </c>
      <c r="M133" s="5">
        <f t="shared" si="27"/>
        <v>0</v>
      </c>
      <c r="N133" s="5">
        <v>93942.21</v>
      </c>
      <c r="O133" s="60">
        <f>INDEX('Revised 2019 Lockdown'!G$5:G$257,MATCH(B133,'Revised 2019 Lockdown'!B$5:B$257,0))</f>
        <v>93942.21</v>
      </c>
      <c r="P133" s="5">
        <f t="shared" si="28"/>
        <v>0</v>
      </c>
      <c r="Q133" s="58">
        <f t="shared" si="29"/>
        <v>755.76538870155684</v>
      </c>
      <c r="R133" s="6">
        <f t="shared" si="17"/>
        <v>755.76538870155684</v>
      </c>
      <c r="S133" s="5">
        <f t="shared" si="30"/>
        <v>93942.21</v>
      </c>
      <c r="T133" s="82">
        <v>9.722222222222221E-2</v>
      </c>
      <c r="U133" s="60">
        <f t="shared" si="18"/>
        <v>21665.067142362928</v>
      </c>
      <c r="V133" s="60">
        <f t="shared" si="19"/>
        <v>8885.2250761890209</v>
      </c>
      <c r="W133" s="60">
        <f t="shared" si="20"/>
        <v>631.89779165225195</v>
      </c>
      <c r="X133" s="60">
        <f t="shared" si="21"/>
        <v>1137.392176821837</v>
      </c>
      <c r="Y133" s="60">
        <f t="shared" si="22"/>
        <v>32319.582187026041</v>
      </c>
      <c r="Z133" s="63">
        <f t="shared" si="23"/>
        <v>0.34403685187974647</v>
      </c>
      <c r="AA133" s="59">
        <f t="shared" si="24"/>
        <v>32320.595176879098</v>
      </c>
      <c r="AB133" s="60"/>
      <c r="AC133" s="59">
        <v>32402.30372410042</v>
      </c>
      <c r="AD133" s="106">
        <f t="shared" si="31"/>
        <v>-81.708547221322078</v>
      </c>
      <c r="AE133" s="106">
        <v>-81.330620441032806</v>
      </c>
      <c r="AF133" s="106">
        <f t="shared" si="32"/>
        <v>-0.37792678028927185</v>
      </c>
      <c r="AG133" s="59"/>
    </row>
    <row r="134" spans="2:33" x14ac:dyDescent="0.35">
      <c r="B134">
        <v>152</v>
      </c>
      <c r="C134" s="17">
        <v>7</v>
      </c>
      <c r="D134" s="22" t="s">
        <v>132</v>
      </c>
      <c r="E134" s="90">
        <v>416.02</v>
      </c>
      <c r="F134" s="90">
        <f>INDEX('Revised 2019 Lockdown'!H$5:H$257,MATCH(B134,'Revised 2019 Lockdown'!B$5:B$257,0))</f>
        <v>416.02</v>
      </c>
      <c r="G134" s="90">
        <f t="shared" si="25"/>
        <v>0</v>
      </c>
      <c r="H134" s="5">
        <v>201392.59</v>
      </c>
      <c r="I134" s="5">
        <f>INDEX('Revised 2019 Lockdown'!E$5:E$257,MATCH(B134,'Revised 2019 Lockdown'!B$5:B$257,0))</f>
        <v>201392.59</v>
      </c>
      <c r="J134" s="5">
        <f t="shared" si="26"/>
        <v>0</v>
      </c>
      <c r="K134" s="5">
        <v>0</v>
      </c>
      <c r="L134" s="5">
        <f>INDEX('Revised 2019 Lockdown'!F$5:F$257,MATCH(B134,'Revised 2019 Lockdown'!B$5:B$257,0))</f>
        <v>0</v>
      </c>
      <c r="M134" s="5">
        <f t="shared" si="27"/>
        <v>0</v>
      </c>
      <c r="N134" s="5">
        <v>201392.59</v>
      </c>
      <c r="O134" s="60">
        <f>INDEX('Revised 2019 Lockdown'!G$5:G$257,MATCH(B134,'Revised 2019 Lockdown'!B$5:B$257,0))</f>
        <v>201392.59</v>
      </c>
      <c r="P134" s="5">
        <f t="shared" si="28"/>
        <v>0</v>
      </c>
      <c r="Q134" s="58">
        <f t="shared" si="29"/>
        <v>484.09352915725208</v>
      </c>
      <c r="R134" s="6">
        <f t="shared" si="17"/>
        <v>484.09352915725208</v>
      </c>
      <c r="S134" s="5">
        <f t="shared" si="30"/>
        <v>201392.59</v>
      </c>
      <c r="T134" s="82">
        <v>0.62037037037037035</v>
      </c>
      <c r="U134" s="60">
        <f t="shared" si="18"/>
        <v>46445.40493910425</v>
      </c>
      <c r="V134" s="60">
        <f t="shared" si="19"/>
        <v>29737.802268106137</v>
      </c>
      <c r="W134" s="60">
        <f t="shared" si="20"/>
        <v>8644.0059192221779</v>
      </c>
      <c r="X134" s="60">
        <f t="shared" si="21"/>
        <v>2438.3326338169786</v>
      </c>
      <c r="Y134" s="60">
        <f t="shared" si="22"/>
        <v>87265.545760249544</v>
      </c>
      <c r="Z134" s="63">
        <f t="shared" si="23"/>
        <v>0.43331060869841115</v>
      </c>
      <c r="AA134" s="59">
        <f t="shared" si="24"/>
        <v>87268.28091665922</v>
      </c>
      <c r="AB134" s="60"/>
      <c r="AC134" s="59">
        <v>87478.841004918388</v>
      </c>
      <c r="AD134" s="106">
        <f t="shared" si="31"/>
        <v>-210.56008825916797</v>
      </c>
      <c r="AE134" s="106">
        <v>-209.64358137485397</v>
      </c>
      <c r="AF134" s="106">
        <f t="shared" si="32"/>
        <v>-0.9165068843140034</v>
      </c>
      <c r="AG134" s="59"/>
    </row>
    <row r="135" spans="2:33" x14ac:dyDescent="0.35">
      <c r="B135">
        <v>162</v>
      </c>
      <c r="C135" s="17">
        <v>7</v>
      </c>
      <c r="D135" s="22" t="s">
        <v>133</v>
      </c>
      <c r="E135" s="90">
        <v>817.57999999999993</v>
      </c>
      <c r="F135" s="90">
        <f>INDEX('Revised 2019 Lockdown'!H$5:H$257,MATCH(B135,'Revised 2019 Lockdown'!B$5:B$257,0))</f>
        <v>817.57999999999993</v>
      </c>
      <c r="G135" s="90">
        <f t="shared" si="25"/>
        <v>0</v>
      </c>
      <c r="H135" s="5">
        <v>406976.46</v>
      </c>
      <c r="I135" s="5">
        <f>INDEX('Revised 2019 Lockdown'!E$5:E$257,MATCH(B135,'Revised 2019 Lockdown'!B$5:B$257,0))</f>
        <v>406976.46</v>
      </c>
      <c r="J135" s="5">
        <f t="shared" si="26"/>
        <v>0</v>
      </c>
      <c r="K135" s="5">
        <v>20849.919999999998</v>
      </c>
      <c r="L135" s="5">
        <f>INDEX('Revised 2019 Lockdown'!F$5:F$257,MATCH(B135,'Revised 2019 Lockdown'!B$5:B$257,0))</f>
        <v>20849.919999999998</v>
      </c>
      <c r="M135" s="5">
        <f t="shared" si="27"/>
        <v>0</v>
      </c>
      <c r="N135" s="5">
        <v>386126.54000000004</v>
      </c>
      <c r="O135" s="60">
        <f>INDEX('Revised 2019 Lockdown'!G$5:G$257,MATCH(B135,'Revised 2019 Lockdown'!B$5:B$257,0))</f>
        <v>386126.54000000004</v>
      </c>
      <c r="P135" s="5">
        <f t="shared" si="28"/>
        <v>0</v>
      </c>
      <c r="Q135" s="58">
        <f t="shared" si="29"/>
        <v>472.27982582744204</v>
      </c>
      <c r="R135" s="6">
        <f t="shared" si="17"/>
        <v>472.27982582744204</v>
      </c>
      <c r="S135" s="5">
        <f t="shared" si="30"/>
        <v>386126.54000000004</v>
      </c>
      <c r="T135" s="82">
        <v>0.86111111111111116</v>
      </c>
      <c r="U135" s="60">
        <f t="shared" si="18"/>
        <v>89048.973986755096</v>
      </c>
      <c r="V135" s="60">
        <f t="shared" si="19"/>
        <v>58441.979660492805</v>
      </c>
      <c r="W135" s="60">
        <f t="shared" si="20"/>
        <v>23004.318279911731</v>
      </c>
      <c r="X135" s="60">
        <f t="shared" si="21"/>
        <v>4674.973112291952</v>
      </c>
      <c r="Y135" s="60">
        <f t="shared" si="22"/>
        <v>175170.24503945158</v>
      </c>
      <c r="Z135" s="63">
        <f t="shared" si="23"/>
        <v>0.45366020434506149</v>
      </c>
      <c r="AA135" s="59">
        <f t="shared" si="24"/>
        <v>175175.73538520405</v>
      </c>
      <c r="AB135" s="60"/>
      <c r="AC135" s="59">
        <v>175600.33526948417</v>
      </c>
      <c r="AD135" s="106">
        <f t="shared" si="31"/>
        <v>-424.59988428012002</v>
      </c>
      <c r="AE135" s="106">
        <v>-422.74076357283047</v>
      </c>
      <c r="AF135" s="106">
        <f t="shared" si="32"/>
        <v>-1.8591207072895486</v>
      </c>
      <c r="AG135" s="59"/>
    </row>
    <row r="136" spans="2:33" x14ac:dyDescent="0.35">
      <c r="B136">
        <v>166</v>
      </c>
      <c r="C136" s="17">
        <v>7</v>
      </c>
      <c r="D136" s="22" t="s">
        <v>134</v>
      </c>
      <c r="E136" s="90">
        <v>812.39060000000006</v>
      </c>
      <c r="F136" s="90">
        <f>INDEX('Revised 2019 Lockdown'!H$5:H$257,MATCH(B136,'Revised 2019 Lockdown'!B$5:B$257,0))</f>
        <v>812.39060000000006</v>
      </c>
      <c r="G136" s="90">
        <f t="shared" si="25"/>
        <v>0</v>
      </c>
      <c r="H136" s="5">
        <v>468737.5</v>
      </c>
      <c r="I136" s="5">
        <f>INDEX('Revised 2019 Lockdown'!E$5:E$257,MATCH(B136,'Revised 2019 Lockdown'!B$5:B$257,0))</f>
        <v>468737.5</v>
      </c>
      <c r="J136" s="5">
        <f t="shared" si="26"/>
        <v>0</v>
      </c>
      <c r="K136" s="5">
        <v>69372.91</v>
      </c>
      <c r="L136" s="5">
        <f>INDEX('Revised 2019 Lockdown'!F$5:F$257,MATCH(B136,'Revised 2019 Lockdown'!B$5:B$257,0))</f>
        <v>69372.91</v>
      </c>
      <c r="M136" s="5">
        <f t="shared" si="27"/>
        <v>0</v>
      </c>
      <c r="N136" s="5">
        <v>399364.58999999997</v>
      </c>
      <c r="O136" s="60">
        <f>INDEX('Revised 2019 Lockdown'!G$5:G$257,MATCH(B136,'Revised 2019 Lockdown'!B$5:B$257,0))</f>
        <v>399364.58999999997</v>
      </c>
      <c r="P136" s="5">
        <f t="shared" si="28"/>
        <v>0</v>
      </c>
      <c r="Q136" s="58">
        <f t="shared" si="29"/>
        <v>491.59184018131174</v>
      </c>
      <c r="R136" s="6">
        <f t="shared" si="17"/>
        <v>491.59184018131174</v>
      </c>
      <c r="S136" s="5">
        <f t="shared" si="30"/>
        <v>399364.58999999997</v>
      </c>
      <c r="T136" s="82">
        <v>0.8379629629629628</v>
      </c>
      <c r="U136" s="60">
        <f t="shared" si="18"/>
        <v>92101.949237006891</v>
      </c>
      <c r="V136" s="60">
        <f t="shared" si="19"/>
        <v>58071.032708206592</v>
      </c>
      <c r="W136" s="60">
        <f t="shared" si="20"/>
        <v>23153.406683192006</v>
      </c>
      <c r="X136" s="60">
        <f t="shared" si="21"/>
        <v>4835.2509523212238</v>
      </c>
      <c r="Y136" s="60">
        <f t="shared" si="22"/>
        <v>178161.63958072671</v>
      </c>
      <c r="Z136" s="63">
        <f t="shared" si="23"/>
        <v>0.44611276022425206</v>
      </c>
      <c r="AA136" s="59">
        <f t="shared" si="24"/>
        <v>178167.22368549809</v>
      </c>
      <c r="AB136" s="60"/>
      <c r="AC136" s="59">
        <v>178601.42102554109</v>
      </c>
      <c r="AD136" s="106">
        <f t="shared" si="31"/>
        <v>-434.19734004299971</v>
      </c>
      <c r="AE136" s="106">
        <v>-432.28460833718418</v>
      </c>
      <c r="AF136" s="106">
        <f t="shared" si="32"/>
        <v>-1.9127317058155313</v>
      </c>
      <c r="AG136" s="59"/>
    </row>
    <row r="137" spans="2:33" x14ac:dyDescent="0.35">
      <c r="B137">
        <v>192</v>
      </c>
      <c r="C137" s="17">
        <v>7</v>
      </c>
      <c r="D137" s="22" t="s">
        <v>135</v>
      </c>
      <c r="E137" s="90">
        <v>176.93</v>
      </c>
      <c r="F137" s="90">
        <f>INDEX('Revised 2019 Lockdown'!H$5:H$257,MATCH(B137,'Revised 2019 Lockdown'!B$5:B$257,0))</f>
        <v>176.93</v>
      </c>
      <c r="G137" s="90">
        <f t="shared" si="25"/>
        <v>0</v>
      </c>
      <c r="H137" s="5">
        <v>131883.44</v>
      </c>
      <c r="I137" s="5">
        <f>INDEX('Revised 2019 Lockdown'!E$5:E$257,MATCH(B137,'Revised 2019 Lockdown'!B$5:B$257,0))</f>
        <v>131883.44</v>
      </c>
      <c r="J137" s="5">
        <f t="shared" si="26"/>
        <v>0</v>
      </c>
      <c r="K137" s="5">
        <v>15209.029999999999</v>
      </c>
      <c r="L137" s="5">
        <f>INDEX('Revised 2019 Lockdown'!F$5:F$257,MATCH(B137,'Revised 2019 Lockdown'!B$5:B$257,0))</f>
        <v>15209.029999999999</v>
      </c>
      <c r="M137" s="5">
        <f t="shared" si="27"/>
        <v>0</v>
      </c>
      <c r="N137" s="5">
        <v>116674.41</v>
      </c>
      <c r="O137" s="60">
        <f>INDEX('Revised 2019 Lockdown'!G$5:G$257,MATCH(B137,'Revised 2019 Lockdown'!B$5:B$257,0))</f>
        <v>116674.41</v>
      </c>
      <c r="P137" s="5">
        <f t="shared" si="28"/>
        <v>0</v>
      </c>
      <c r="Q137" s="58">
        <f t="shared" si="29"/>
        <v>659.43825241620982</v>
      </c>
      <c r="R137" s="6">
        <f t="shared" si="17"/>
        <v>659.43825241620982</v>
      </c>
      <c r="S137" s="5">
        <f t="shared" si="30"/>
        <v>116674.41</v>
      </c>
      <c r="T137" s="82">
        <v>0.68981481481481488</v>
      </c>
      <c r="U137" s="60">
        <f t="shared" si="18"/>
        <v>26907.594854811061</v>
      </c>
      <c r="V137" s="60">
        <f t="shared" si="19"/>
        <v>12647.250986241093</v>
      </c>
      <c r="W137" s="60">
        <f t="shared" si="20"/>
        <v>5568.3772685650674</v>
      </c>
      <c r="X137" s="60">
        <f t="shared" si="21"/>
        <v>1412.6191109332374</v>
      </c>
      <c r="Y137" s="60">
        <f t="shared" si="22"/>
        <v>46535.842220550461</v>
      </c>
      <c r="Z137" s="63">
        <f t="shared" si="23"/>
        <v>0.39885217521606031</v>
      </c>
      <c r="AA137" s="59">
        <f t="shared" si="24"/>
        <v>46537.300789405097</v>
      </c>
      <c r="AB137" s="60"/>
      <c r="AC137" s="59">
        <v>46655.035338537004</v>
      </c>
      <c r="AD137" s="106">
        <f t="shared" si="31"/>
        <v>-117.73454913190653</v>
      </c>
      <c r="AE137" s="106">
        <v>-117.19468083382526</v>
      </c>
      <c r="AF137" s="106">
        <f t="shared" si="32"/>
        <v>-0.53986829808127368</v>
      </c>
      <c r="AG137" s="59"/>
    </row>
    <row r="138" spans="2:33" x14ac:dyDescent="0.35">
      <c r="B138">
        <v>205</v>
      </c>
      <c r="C138" s="17">
        <v>7</v>
      </c>
      <c r="D138" s="22" t="s">
        <v>136</v>
      </c>
      <c r="E138" s="90">
        <v>569.83868095153036</v>
      </c>
      <c r="F138" s="90">
        <f>INDEX('Revised 2019 Lockdown'!H$5:H$257,MATCH(B138,'Revised 2019 Lockdown'!B$5:B$257,0))</f>
        <v>569.83868095153036</v>
      </c>
      <c r="G138" s="90">
        <f t="shared" si="25"/>
        <v>0</v>
      </c>
      <c r="H138" s="5">
        <v>404989.35</v>
      </c>
      <c r="I138" s="5">
        <f>INDEX('Revised 2019 Lockdown'!E$5:E$257,MATCH(B138,'Revised 2019 Lockdown'!B$5:B$257,0))</f>
        <v>404989.35</v>
      </c>
      <c r="J138" s="5">
        <f t="shared" si="26"/>
        <v>0</v>
      </c>
      <c r="K138" s="5">
        <v>12086.56</v>
      </c>
      <c r="L138" s="5">
        <f>INDEX('Revised 2019 Lockdown'!F$5:F$257,MATCH(B138,'Revised 2019 Lockdown'!B$5:B$257,0))</f>
        <v>12086.56</v>
      </c>
      <c r="M138" s="5">
        <f t="shared" si="27"/>
        <v>0</v>
      </c>
      <c r="N138" s="5">
        <v>392902.79</v>
      </c>
      <c r="O138" s="60">
        <f>INDEX('Revised 2019 Lockdown'!G$5:G$257,MATCH(B138,'Revised 2019 Lockdown'!B$5:B$257,0))</f>
        <v>392902.79</v>
      </c>
      <c r="P138" s="5">
        <f t="shared" si="28"/>
        <v>0</v>
      </c>
      <c r="Q138" s="58">
        <f t="shared" si="29"/>
        <v>689.49827930936772</v>
      </c>
      <c r="R138" s="6">
        <f t="shared" si="17"/>
        <v>689.49827930936772</v>
      </c>
      <c r="S138" s="5">
        <f t="shared" si="30"/>
        <v>392902.79</v>
      </c>
      <c r="T138" s="82">
        <v>0.56018518518518523</v>
      </c>
      <c r="U138" s="60">
        <f t="shared" si="18"/>
        <v>90611.721033300375</v>
      </c>
      <c r="V138" s="60">
        <f t="shared" si="19"/>
        <v>40733.017688704938</v>
      </c>
      <c r="W138" s="60">
        <f t="shared" si="20"/>
        <v>15227.803118096313</v>
      </c>
      <c r="X138" s="60">
        <f t="shared" si="21"/>
        <v>4757.0156120179954</v>
      </c>
      <c r="Y138" s="60">
        <f t="shared" si="22"/>
        <v>151329.55745211962</v>
      </c>
      <c r="Z138" s="63">
        <f t="shared" si="23"/>
        <v>0.38515775734786623</v>
      </c>
      <c r="AA138" s="59">
        <f t="shared" si="24"/>
        <v>151334.30056127493</v>
      </c>
      <c r="AB138" s="60"/>
      <c r="AC138" s="59">
        <v>151717.93609209292</v>
      </c>
      <c r="AD138" s="106">
        <f t="shared" si="31"/>
        <v>-383.63553081799182</v>
      </c>
      <c r="AE138" s="106">
        <v>-381.87335435024579</v>
      </c>
      <c r="AF138" s="106">
        <f t="shared" si="32"/>
        <v>-1.7621764677460305</v>
      </c>
      <c r="AG138" s="59"/>
    </row>
    <row r="139" spans="2:33" x14ac:dyDescent="0.35">
      <c r="B139">
        <v>212</v>
      </c>
      <c r="C139" s="17">
        <v>7</v>
      </c>
      <c r="D139" s="22" t="s">
        <v>137</v>
      </c>
      <c r="E139" s="90">
        <v>406.1665486930608</v>
      </c>
      <c r="F139" s="90">
        <f>INDEX('Revised 2019 Lockdown'!H$5:H$257,MATCH(B139,'Revised 2019 Lockdown'!B$5:B$257,0))</f>
        <v>406.1665486930608</v>
      </c>
      <c r="G139" s="90">
        <f t="shared" si="25"/>
        <v>0</v>
      </c>
      <c r="H139" s="5">
        <v>252873.52</v>
      </c>
      <c r="I139" s="5">
        <f>INDEX('Revised 2019 Lockdown'!E$5:E$257,MATCH(B139,'Revised 2019 Lockdown'!B$5:B$257,0))</f>
        <v>252953.60000000001</v>
      </c>
      <c r="J139" s="5">
        <f t="shared" si="26"/>
        <v>80.080000000016298</v>
      </c>
      <c r="K139" s="5">
        <v>851</v>
      </c>
      <c r="L139" s="5">
        <f>INDEX('Revised 2019 Lockdown'!F$5:F$257,MATCH(B139,'Revised 2019 Lockdown'!B$5:B$257,0))</f>
        <v>851</v>
      </c>
      <c r="M139" s="5">
        <f t="shared" si="27"/>
        <v>0</v>
      </c>
      <c r="N139" s="5">
        <v>252022.52</v>
      </c>
      <c r="O139" s="60">
        <f>INDEX('Revised 2019 Lockdown'!G$5:G$257,MATCH(B139,'Revised 2019 Lockdown'!B$5:B$257,0))</f>
        <v>252102.6</v>
      </c>
      <c r="P139" s="5">
        <f t="shared" si="28"/>
        <v>80.080000000016298</v>
      </c>
      <c r="Q139" s="58">
        <f t="shared" si="29"/>
        <v>620.68774696291746</v>
      </c>
      <c r="R139" s="6">
        <f t="shared" si="17"/>
        <v>620.68774696291746</v>
      </c>
      <c r="S139" s="5">
        <f t="shared" si="30"/>
        <v>252102.6</v>
      </c>
      <c r="T139" s="82">
        <v>0.26851851851851849</v>
      </c>
      <c r="U139" s="60">
        <f t="shared" si="18"/>
        <v>58140.209345343952</v>
      </c>
      <c r="V139" s="60">
        <f t="shared" si="19"/>
        <v>29033.461162812717</v>
      </c>
      <c r="W139" s="60">
        <f t="shared" si="20"/>
        <v>4683.5168639304839</v>
      </c>
      <c r="X139" s="60">
        <f t="shared" si="21"/>
        <v>3052.2969919107163</v>
      </c>
      <c r="Y139" s="60">
        <f t="shared" si="22"/>
        <v>94909.484363997879</v>
      </c>
      <c r="Z139" s="63">
        <f t="shared" si="23"/>
        <v>0.37647166020500333</v>
      </c>
      <c r="AA139" s="59">
        <f t="shared" si="24"/>
        <v>94912.459103710265</v>
      </c>
      <c r="AB139" s="60"/>
      <c r="AC139" s="59">
        <v>95126.292331299614</v>
      </c>
      <c r="AD139" s="106">
        <f t="shared" si="31"/>
        <v>-213.8332275893481</v>
      </c>
      <c r="AE139" s="106">
        <v>-212.76919698383426</v>
      </c>
      <c r="AF139" s="106">
        <f t="shared" si="32"/>
        <v>-1.0640306055138353</v>
      </c>
      <c r="AG139" s="59"/>
    </row>
    <row r="140" spans="2:33" x14ac:dyDescent="0.35">
      <c r="B140">
        <v>216</v>
      </c>
      <c r="C140" s="17">
        <v>7</v>
      </c>
      <c r="D140" s="22" t="s">
        <v>138</v>
      </c>
      <c r="E140" s="90">
        <v>734.36593752530666</v>
      </c>
      <c r="F140" s="90">
        <f>INDEX('Revised 2019 Lockdown'!H$5:H$257,MATCH(B140,'Revised 2019 Lockdown'!B$5:B$257,0))</f>
        <v>734.36593752530666</v>
      </c>
      <c r="G140" s="90">
        <f t="shared" si="25"/>
        <v>0</v>
      </c>
      <c r="H140" s="5">
        <v>322813.15000000002</v>
      </c>
      <c r="I140" s="5">
        <f>INDEX('Revised 2019 Lockdown'!E$5:E$257,MATCH(B140,'Revised 2019 Lockdown'!B$5:B$257,0))</f>
        <v>322813.15000000002</v>
      </c>
      <c r="J140" s="5">
        <f t="shared" si="26"/>
        <v>0</v>
      </c>
      <c r="K140" s="5">
        <v>665</v>
      </c>
      <c r="L140" s="5">
        <f>INDEX('Revised 2019 Lockdown'!F$5:F$257,MATCH(B140,'Revised 2019 Lockdown'!B$5:B$257,0))</f>
        <v>665</v>
      </c>
      <c r="M140" s="5">
        <f t="shared" si="27"/>
        <v>0</v>
      </c>
      <c r="N140" s="5">
        <v>322148.15000000002</v>
      </c>
      <c r="O140" s="60">
        <f>INDEX('Revised 2019 Lockdown'!G$5:G$257,MATCH(B140,'Revised 2019 Lockdown'!B$5:B$257,0))</f>
        <v>322148.15000000002</v>
      </c>
      <c r="P140" s="5">
        <f t="shared" si="28"/>
        <v>0</v>
      </c>
      <c r="Q140" s="58">
        <f t="shared" si="29"/>
        <v>438.6752347005455</v>
      </c>
      <c r="R140" s="6">
        <f t="shared" si="17"/>
        <v>438.6752347005455</v>
      </c>
      <c r="S140" s="5">
        <f t="shared" si="30"/>
        <v>322148.15000000002</v>
      </c>
      <c r="T140" s="82">
        <v>0.6064814814814814</v>
      </c>
      <c r="U140" s="60">
        <f t="shared" si="18"/>
        <v>74294.199588640768</v>
      </c>
      <c r="V140" s="60">
        <f t="shared" si="19"/>
        <v>52493.699924426604</v>
      </c>
      <c r="W140" s="60">
        <f t="shared" si="20"/>
        <v>13517.416869599914</v>
      </c>
      <c r="X140" s="60">
        <f t="shared" si="21"/>
        <v>3900.3636979333114</v>
      </c>
      <c r="Y140" s="60">
        <f t="shared" si="22"/>
        <v>144205.68008060061</v>
      </c>
      <c r="Z140" s="63">
        <f t="shared" si="23"/>
        <v>0.44763777187794063</v>
      </c>
      <c r="AA140" s="59">
        <f t="shared" si="24"/>
        <v>144210.19990668714</v>
      </c>
      <c r="AB140" s="60"/>
      <c r="AC140" s="59">
        <v>144552.45110932592</v>
      </c>
      <c r="AD140" s="106">
        <f t="shared" si="31"/>
        <v>-342.25120263878489</v>
      </c>
      <c r="AE140" s="106">
        <v>-340.79007974997512</v>
      </c>
      <c r="AF140" s="106">
        <f t="shared" si="32"/>
        <v>-1.4611228888097685</v>
      </c>
      <c r="AG140" s="59"/>
    </row>
    <row r="141" spans="2:33" x14ac:dyDescent="0.35">
      <c r="B141">
        <v>218</v>
      </c>
      <c r="C141" s="17">
        <v>7</v>
      </c>
      <c r="D141" s="22" t="s">
        <v>248</v>
      </c>
      <c r="E141" s="90">
        <v>234.26633373228532</v>
      </c>
      <c r="F141" s="90">
        <f>INDEX('Revised 2019 Lockdown'!H$5:H$257,MATCH(B141,'Revised 2019 Lockdown'!B$5:B$257,0))</f>
        <v>234.26633373228532</v>
      </c>
      <c r="G141" s="90">
        <f t="shared" si="25"/>
        <v>0</v>
      </c>
      <c r="H141" s="5">
        <v>202407.39</v>
      </c>
      <c r="I141" s="5">
        <f>INDEX('Revised 2019 Lockdown'!E$5:E$257,MATCH(B141,'Revised 2019 Lockdown'!B$5:B$257,0))</f>
        <v>202407.39</v>
      </c>
      <c r="J141" s="5">
        <f t="shared" si="26"/>
        <v>0</v>
      </c>
      <c r="K141" s="5">
        <v>240</v>
      </c>
      <c r="L141" s="5">
        <f>INDEX('Revised 2019 Lockdown'!F$5:F$257,MATCH(B141,'Revised 2019 Lockdown'!B$5:B$257,0))</f>
        <v>240</v>
      </c>
      <c r="M141" s="5">
        <f t="shared" si="27"/>
        <v>0</v>
      </c>
      <c r="N141" s="5">
        <v>202167.39</v>
      </c>
      <c r="O141" s="60">
        <f>INDEX('Revised 2019 Lockdown'!G$5:G$257,MATCH(B141,'Revised 2019 Lockdown'!B$5:B$257,0))</f>
        <v>202167.39</v>
      </c>
      <c r="P141" s="5">
        <f t="shared" si="28"/>
        <v>0</v>
      </c>
      <c r="Q141" s="58">
        <f t="shared" si="29"/>
        <v>862.98097886755124</v>
      </c>
      <c r="R141" s="6">
        <f t="shared" si="17"/>
        <v>782.61515726829293</v>
      </c>
      <c r="S141" s="5">
        <f t="shared" si="30"/>
        <v>183340.38361655886</v>
      </c>
      <c r="T141" s="82">
        <v>0.4236111111111111</v>
      </c>
      <c r="U141" s="60">
        <f t="shared" si="18"/>
        <v>42282.183067221042</v>
      </c>
      <c r="V141" s="60">
        <f t="shared" si="19"/>
        <v>16745.747585704688</v>
      </c>
      <c r="W141" s="60">
        <f t="shared" si="20"/>
        <v>5373.3607647926738</v>
      </c>
      <c r="X141" s="60">
        <f t="shared" si="21"/>
        <v>2219.7680682729151</v>
      </c>
      <c r="Y141" s="60">
        <f t="shared" si="22"/>
        <v>66621.059485991325</v>
      </c>
      <c r="Z141" s="63">
        <f t="shared" si="23"/>
        <v>0.36337362326743966</v>
      </c>
      <c r="AA141" s="59">
        <f t="shared" si="24"/>
        <v>66623.147584063539</v>
      </c>
      <c r="AB141" s="60"/>
      <c r="AC141" s="59">
        <v>67342.651584823063</v>
      </c>
      <c r="AD141" s="106">
        <f t="shared" si="31"/>
        <v>-719.50400075952348</v>
      </c>
      <c r="AE141" s="106">
        <v>-723.302340721988</v>
      </c>
      <c r="AF141" s="106">
        <f t="shared" si="32"/>
        <v>3.7983399624645244</v>
      </c>
      <c r="AG141" s="59"/>
    </row>
    <row r="142" spans="2:33" x14ac:dyDescent="0.35">
      <c r="B142">
        <v>229</v>
      </c>
      <c r="C142" s="17">
        <v>7</v>
      </c>
      <c r="D142" s="22" t="s">
        <v>139</v>
      </c>
      <c r="E142" s="90">
        <v>828.46</v>
      </c>
      <c r="F142" s="90">
        <f>INDEX('Revised 2019 Lockdown'!H$5:H$257,MATCH(B142,'Revised 2019 Lockdown'!B$5:B$257,0))</f>
        <v>828.46</v>
      </c>
      <c r="G142" s="90">
        <f t="shared" si="25"/>
        <v>0</v>
      </c>
      <c r="H142" s="5">
        <v>520124.41</v>
      </c>
      <c r="I142" s="5">
        <f>INDEX('Revised 2019 Lockdown'!E$5:E$257,MATCH(B142,'Revised 2019 Lockdown'!B$5:B$257,0))</f>
        <v>520124.41</v>
      </c>
      <c r="J142" s="5">
        <f t="shared" si="26"/>
        <v>0</v>
      </c>
      <c r="K142" s="5">
        <v>81188.479999999996</v>
      </c>
      <c r="L142" s="5">
        <f>INDEX('Revised 2019 Lockdown'!F$5:F$257,MATCH(B142,'Revised 2019 Lockdown'!B$5:B$257,0))</f>
        <v>81188.479999999996</v>
      </c>
      <c r="M142" s="5">
        <f t="shared" si="27"/>
        <v>0</v>
      </c>
      <c r="N142" s="5">
        <v>438935.93</v>
      </c>
      <c r="O142" s="60">
        <f>INDEX('Revised 2019 Lockdown'!G$5:G$257,MATCH(B142,'Revised 2019 Lockdown'!B$5:B$257,0))</f>
        <v>438935.93</v>
      </c>
      <c r="P142" s="5">
        <f t="shared" si="28"/>
        <v>0</v>
      </c>
      <c r="Q142" s="58">
        <f t="shared" si="29"/>
        <v>529.82151220336527</v>
      </c>
      <c r="R142" s="6">
        <f t="shared" si="17"/>
        <v>529.82151220336527</v>
      </c>
      <c r="S142" s="5">
        <f t="shared" si="30"/>
        <v>438935.93</v>
      </c>
      <c r="T142" s="82">
        <v>0.79976851851851838</v>
      </c>
      <c r="U142" s="60">
        <f t="shared" si="18"/>
        <v>101227.93997123884</v>
      </c>
      <c r="V142" s="60">
        <f t="shared" si="19"/>
        <v>59219.700175556973</v>
      </c>
      <c r="W142" s="60">
        <f t="shared" si="20"/>
        <v>24287.675875043758</v>
      </c>
      <c r="X142" s="60">
        <f t="shared" si="21"/>
        <v>5314.3554202952791</v>
      </c>
      <c r="Y142" s="60">
        <f t="shared" si="22"/>
        <v>190049.67144213483</v>
      </c>
      <c r="Z142" s="63">
        <f t="shared" si="23"/>
        <v>0.43297816025708996</v>
      </c>
      <c r="AA142" s="59">
        <f t="shared" si="24"/>
        <v>190055.62815245471</v>
      </c>
      <c r="AB142" s="60"/>
      <c r="AC142" s="59">
        <v>190523.46808670493</v>
      </c>
      <c r="AD142" s="106">
        <f t="shared" si="31"/>
        <v>-467.83993425022345</v>
      </c>
      <c r="AE142" s="106">
        <v>-465.75604315058445</v>
      </c>
      <c r="AF142" s="106">
        <f t="shared" si="32"/>
        <v>-2.0838910996390041</v>
      </c>
      <c r="AG142" s="59"/>
    </row>
    <row r="143" spans="2:33" x14ac:dyDescent="0.35">
      <c r="B143">
        <v>236</v>
      </c>
      <c r="C143" s="17">
        <v>7</v>
      </c>
      <c r="D143" s="22" t="s">
        <v>140</v>
      </c>
      <c r="E143" s="90">
        <v>1063.22</v>
      </c>
      <c r="F143" s="90">
        <f>INDEX('Revised 2019 Lockdown'!H$5:H$257,MATCH(B143,'Revised 2019 Lockdown'!B$5:B$257,0))</f>
        <v>1063.22</v>
      </c>
      <c r="G143" s="90">
        <f t="shared" si="25"/>
        <v>0</v>
      </c>
      <c r="H143" s="5">
        <v>641009.56000000006</v>
      </c>
      <c r="I143" s="5">
        <f>INDEX('Revised 2019 Lockdown'!E$5:E$257,MATCH(B143,'Revised 2019 Lockdown'!B$5:B$257,0))</f>
        <v>641009.56000000006</v>
      </c>
      <c r="J143" s="5">
        <f t="shared" si="26"/>
        <v>0</v>
      </c>
      <c r="K143" s="5">
        <v>131330.90000000002</v>
      </c>
      <c r="L143" s="5">
        <f>INDEX('Revised 2019 Lockdown'!F$5:F$257,MATCH(B143,'Revised 2019 Lockdown'!B$5:B$257,0))</f>
        <v>131330.90000000002</v>
      </c>
      <c r="M143" s="5">
        <f t="shared" si="27"/>
        <v>0</v>
      </c>
      <c r="N143" s="5">
        <v>509678.66000000003</v>
      </c>
      <c r="O143" s="60">
        <f>INDEX('Revised 2019 Lockdown'!G$5:G$257,MATCH(B143,'Revised 2019 Lockdown'!B$5:B$257,0))</f>
        <v>509678.66000000003</v>
      </c>
      <c r="P143" s="5">
        <f t="shared" si="28"/>
        <v>0</v>
      </c>
      <c r="Q143" s="58">
        <f t="shared" si="29"/>
        <v>479.37271684129342</v>
      </c>
      <c r="R143" s="6">
        <f t="shared" si="17"/>
        <v>479.37271684129342</v>
      </c>
      <c r="S143" s="5">
        <f t="shared" si="30"/>
        <v>509678.66000000003</v>
      </c>
      <c r="T143" s="82">
        <v>0.78703703703703698</v>
      </c>
      <c r="U143" s="60">
        <f t="shared" si="18"/>
        <v>117542.71471716033</v>
      </c>
      <c r="V143" s="60">
        <f t="shared" si="19"/>
        <v>76000.735848026074</v>
      </c>
      <c r="W143" s="60">
        <f t="shared" si="20"/>
        <v>27753.140974885075</v>
      </c>
      <c r="X143" s="60">
        <f t="shared" si="21"/>
        <v>6170.8631357196828</v>
      </c>
      <c r="Y143" s="60">
        <f t="shared" si="22"/>
        <v>227467.45467579114</v>
      </c>
      <c r="Z143" s="63">
        <f t="shared" si="23"/>
        <v>0.44629581838052851</v>
      </c>
      <c r="AA143" s="59">
        <f t="shared" si="24"/>
        <v>227474.58416843601</v>
      </c>
      <c r="AB143" s="60"/>
      <c r="AC143" s="59">
        <v>228025.83420079519</v>
      </c>
      <c r="AD143" s="106">
        <f t="shared" si="31"/>
        <v>-551.2500323591812</v>
      </c>
      <c r="AE143" s="106">
        <v>-548.83742491219891</v>
      </c>
      <c r="AF143" s="106">
        <f t="shared" si="32"/>
        <v>-2.4126074469822925</v>
      </c>
      <c r="AG143" s="59"/>
    </row>
    <row r="144" spans="2:33" x14ac:dyDescent="0.35">
      <c r="B144">
        <v>238</v>
      </c>
      <c r="C144" s="17">
        <v>7</v>
      </c>
      <c r="D144" s="22" t="s">
        <v>141</v>
      </c>
      <c r="E144" s="90">
        <v>59.944851964987492</v>
      </c>
      <c r="F144" s="90">
        <f>INDEX('Revised 2019 Lockdown'!H$5:H$257,MATCH(B144,'Revised 2019 Lockdown'!B$5:B$257,0))</f>
        <v>59.944851964987492</v>
      </c>
      <c r="G144" s="90">
        <f t="shared" si="25"/>
        <v>0</v>
      </c>
      <c r="H144" s="5">
        <v>35866.36</v>
      </c>
      <c r="I144" s="5">
        <f>INDEX('Revised 2019 Lockdown'!E$5:E$257,MATCH(B144,'Revised 2019 Lockdown'!B$5:B$257,0))</f>
        <v>35866.36</v>
      </c>
      <c r="J144" s="5">
        <f t="shared" si="26"/>
        <v>0</v>
      </c>
      <c r="K144" s="5">
        <v>24</v>
      </c>
      <c r="L144" s="5">
        <f>INDEX('Revised 2019 Lockdown'!F$5:F$257,MATCH(B144,'Revised 2019 Lockdown'!B$5:B$257,0))</f>
        <v>24</v>
      </c>
      <c r="M144" s="5">
        <f t="shared" si="27"/>
        <v>0</v>
      </c>
      <c r="N144" s="5">
        <v>35842.36</v>
      </c>
      <c r="O144" s="60">
        <f>INDEX('Revised 2019 Lockdown'!G$5:G$257,MATCH(B144,'Revised 2019 Lockdown'!B$5:B$257,0))</f>
        <v>35842.36</v>
      </c>
      <c r="P144" s="5">
        <f t="shared" si="28"/>
        <v>0</v>
      </c>
      <c r="Q144" s="58">
        <f t="shared" si="29"/>
        <v>597.92223727459964</v>
      </c>
      <c r="R144" s="6">
        <f t="shared" si="17"/>
        <v>597.92223727459964</v>
      </c>
      <c r="S144" s="5">
        <f t="shared" si="30"/>
        <v>35842.36</v>
      </c>
      <c r="T144" s="82">
        <v>0.65277777777777779</v>
      </c>
      <c r="U144" s="60">
        <f t="shared" si="18"/>
        <v>8266.0088147888291</v>
      </c>
      <c r="V144" s="60">
        <f t="shared" si="19"/>
        <v>4284.957825887438</v>
      </c>
      <c r="W144" s="60">
        <f t="shared" si="20"/>
        <v>1618.7600595628123</v>
      </c>
      <c r="X144" s="60">
        <f t="shared" si="21"/>
        <v>433.95636384147161</v>
      </c>
      <c r="Y144" s="60">
        <f t="shared" si="22"/>
        <v>14603.683064080549</v>
      </c>
      <c r="Z144" s="63">
        <f t="shared" si="23"/>
        <v>0.40744200616478793</v>
      </c>
      <c r="AA144" s="59">
        <f t="shared" si="24"/>
        <v>14604.140786048476</v>
      </c>
      <c r="AB144" s="60"/>
      <c r="AC144" s="59">
        <v>14640.552542363959</v>
      </c>
      <c r="AD144" s="106">
        <f t="shared" si="31"/>
        <v>-36.411756315483217</v>
      </c>
      <c r="AE144" s="106">
        <v>-36.247365886336411</v>
      </c>
      <c r="AF144" s="106">
        <f t="shared" si="32"/>
        <v>-0.16439042914680613</v>
      </c>
      <c r="AG144" s="59"/>
    </row>
    <row r="145" spans="2:33" x14ac:dyDescent="0.35">
      <c r="B145">
        <v>239</v>
      </c>
      <c r="C145" s="17">
        <v>7</v>
      </c>
      <c r="D145" s="22" t="s">
        <v>142</v>
      </c>
      <c r="E145" s="90">
        <v>2925.25</v>
      </c>
      <c r="F145" s="90">
        <f>INDEX('Revised 2019 Lockdown'!H$5:H$257,MATCH(B145,'Revised 2019 Lockdown'!B$5:B$257,0))</f>
        <v>2925.25</v>
      </c>
      <c r="G145" s="90">
        <f t="shared" si="25"/>
        <v>0</v>
      </c>
      <c r="H145" s="5">
        <v>1822993.26</v>
      </c>
      <c r="I145" s="5">
        <f>INDEX('Revised 2019 Lockdown'!E$5:E$257,MATCH(B145,'Revised 2019 Lockdown'!B$5:B$257,0))</f>
        <v>1825402.79</v>
      </c>
      <c r="J145" s="5">
        <f t="shared" si="26"/>
        <v>2409.5300000000279</v>
      </c>
      <c r="K145" s="5">
        <v>204609.35</v>
      </c>
      <c r="L145" s="5">
        <f>INDEX('Revised 2019 Lockdown'!F$5:F$257,MATCH(B145,'Revised 2019 Lockdown'!B$5:B$257,0))</f>
        <v>204609.35</v>
      </c>
      <c r="M145" s="5">
        <f t="shared" si="27"/>
        <v>0</v>
      </c>
      <c r="N145" s="5">
        <v>1618383.91</v>
      </c>
      <c r="O145" s="60">
        <f>INDEX('Revised 2019 Lockdown'!G$5:G$257,MATCH(B145,'Revised 2019 Lockdown'!B$5:B$257,0))</f>
        <v>1620793.44</v>
      </c>
      <c r="P145" s="5">
        <f t="shared" si="28"/>
        <v>2409.5300000000279</v>
      </c>
      <c r="Q145" s="58">
        <f t="shared" si="29"/>
        <v>554.07005896931889</v>
      </c>
      <c r="R145" s="6">
        <f t="shared" si="17"/>
        <v>554.07005896931889</v>
      </c>
      <c r="S145" s="5">
        <f t="shared" si="30"/>
        <v>1620793.4400000002</v>
      </c>
      <c r="T145" s="82">
        <v>0.86111111111111116</v>
      </c>
      <c r="U145" s="60">
        <f t="shared" si="18"/>
        <v>373789.36158199154</v>
      </c>
      <c r="V145" s="60">
        <f t="shared" si="19"/>
        <v>209101.74050472933</v>
      </c>
      <c r="W145" s="60">
        <f t="shared" si="20"/>
        <v>96562.251742014472</v>
      </c>
      <c r="X145" s="60">
        <f t="shared" si="21"/>
        <v>19623.53002872887</v>
      </c>
      <c r="Y145" s="60">
        <f t="shared" si="22"/>
        <v>699076.88385746418</v>
      </c>
      <c r="Z145" s="63">
        <f t="shared" si="23"/>
        <v>0.43131769083262339</v>
      </c>
      <c r="AA145" s="59">
        <f t="shared" si="24"/>
        <v>699098.79496342328</v>
      </c>
      <c r="AB145" s="60"/>
      <c r="AC145" s="59">
        <v>700103.73280750203</v>
      </c>
      <c r="AD145" s="106">
        <f t="shared" si="31"/>
        <v>-1004.937844078755</v>
      </c>
      <c r="AE145" s="106">
        <v>-1725.5830775817158</v>
      </c>
      <c r="AF145" s="106">
        <f t="shared" si="32"/>
        <v>720.64523350296076</v>
      </c>
      <c r="AG145" s="59"/>
    </row>
    <row r="146" spans="2:33" x14ac:dyDescent="0.35">
      <c r="B146">
        <v>249</v>
      </c>
      <c r="C146" s="17">
        <v>7</v>
      </c>
      <c r="D146" s="22" t="s">
        <v>143</v>
      </c>
      <c r="E146" s="90">
        <v>1034.1301694779929</v>
      </c>
      <c r="F146" s="90">
        <f>INDEX('Revised 2019 Lockdown'!H$5:H$257,MATCH(B146,'Revised 2019 Lockdown'!B$5:B$257,0))</f>
        <v>1034.1301694779929</v>
      </c>
      <c r="G146" s="90">
        <f t="shared" si="25"/>
        <v>0</v>
      </c>
      <c r="H146" s="5">
        <v>679586.79</v>
      </c>
      <c r="I146" s="5">
        <f>INDEX('Revised 2019 Lockdown'!E$5:E$257,MATCH(B146,'Revised 2019 Lockdown'!B$5:B$257,0))</f>
        <v>679586.79</v>
      </c>
      <c r="J146" s="5">
        <f t="shared" si="26"/>
        <v>0</v>
      </c>
      <c r="K146" s="5">
        <v>0</v>
      </c>
      <c r="L146" s="5">
        <f>INDEX('Revised 2019 Lockdown'!F$5:F$257,MATCH(B146,'Revised 2019 Lockdown'!B$5:B$257,0))</f>
        <v>0</v>
      </c>
      <c r="M146" s="5">
        <f t="shared" si="27"/>
        <v>0</v>
      </c>
      <c r="N146" s="5">
        <v>679586.79</v>
      </c>
      <c r="O146" s="60">
        <f>INDEX('Revised 2019 Lockdown'!G$5:G$257,MATCH(B146,'Revised 2019 Lockdown'!B$5:B$257,0))</f>
        <v>679586.79</v>
      </c>
      <c r="P146" s="5">
        <f t="shared" si="28"/>
        <v>0</v>
      </c>
      <c r="Q146" s="58">
        <f t="shared" si="29"/>
        <v>657.15788017580132</v>
      </c>
      <c r="R146" s="6">
        <f t="shared" si="17"/>
        <v>657.15788017580132</v>
      </c>
      <c r="S146" s="5">
        <f t="shared" si="30"/>
        <v>679586.79</v>
      </c>
      <c r="T146" s="82">
        <v>0.67592592592592604</v>
      </c>
      <c r="U146" s="60">
        <f t="shared" si="18"/>
        <v>156727.1350590208</v>
      </c>
      <c r="V146" s="60">
        <f t="shared" si="19"/>
        <v>73921.346328108368</v>
      </c>
      <c r="W146" s="60">
        <f t="shared" si="20"/>
        <v>31780.780164745891</v>
      </c>
      <c r="X146" s="60">
        <f t="shared" si="21"/>
        <v>8228.0020708206102</v>
      </c>
      <c r="Y146" s="60">
        <f t="shared" si="22"/>
        <v>270657.26362269564</v>
      </c>
      <c r="Z146" s="63">
        <f t="shared" si="23"/>
        <v>0.39826739955127088</v>
      </c>
      <c r="AA146" s="59">
        <f t="shared" si="24"/>
        <v>270665.74680976529</v>
      </c>
      <c r="AB146" s="60"/>
      <c r="AC146" s="59">
        <v>271349.90348589793</v>
      </c>
      <c r="AD146" s="106">
        <f t="shared" si="31"/>
        <v>-684.1566761326394</v>
      </c>
      <c r="AE146" s="106">
        <v>-680.98689422738971</v>
      </c>
      <c r="AF146" s="106">
        <f t="shared" si="32"/>
        <v>-3.1697819052496925</v>
      </c>
      <c r="AG146" s="59"/>
    </row>
    <row r="147" spans="2:33" x14ac:dyDescent="0.35">
      <c r="B147">
        <v>271</v>
      </c>
      <c r="C147" s="17">
        <v>7</v>
      </c>
      <c r="D147" s="22" t="s">
        <v>144</v>
      </c>
      <c r="E147" s="90">
        <v>759.30399999999997</v>
      </c>
      <c r="F147" s="90">
        <f>INDEX('Revised 2019 Lockdown'!H$5:H$257,MATCH(B147,'Revised 2019 Lockdown'!B$5:B$257,0))</f>
        <v>759.30399999999997</v>
      </c>
      <c r="G147" s="90">
        <f t="shared" si="25"/>
        <v>0</v>
      </c>
      <c r="H147" s="5">
        <v>826410.04</v>
      </c>
      <c r="I147" s="5">
        <f>INDEX('Revised 2019 Lockdown'!E$5:E$257,MATCH(B147,'Revised 2019 Lockdown'!B$5:B$257,0))</f>
        <v>726125.85</v>
      </c>
      <c r="J147" s="5">
        <f t="shared" si="26"/>
        <v>-100284.19000000006</v>
      </c>
      <c r="K147" s="5">
        <v>100875.81000000001</v>
      </c>
      <c r="L147" s="5">
        <f>INDEX('Revised 2019 Lockdown'!F$5:F$257,MATCH(B147,'Revised 2019 Lockdown'!B$5:B$257,0))</f>
        <v>103587.01000000002</v>
      </c>
      <c r="M147" s="5">
        <f t="shared" si="27"/>
        <v>2711.2000000000116</v>
      </c>
      <c r="N147" s="5">
        <v>725534.23</v>
      </c>
      <c r="O147" s="60">
        <f>INDEX('Revised 2019 Lockdown'!G$5:G$257,MATCH(B147,'Revised 2019 Lockdown'!B$5:B$257,0))</f>
        <v>622538.84</v>
      </c>
      <c r="P147" s="5">
        <f t="shared" si="28"/>
        <v>-102995.39000000001</v>
      </c>
      <c r="Q147" s="58">
        <f t="shared" si="29"/>
        <v>819.88089092115933</v>
      </c>
      <c r="R147" s="6">
        <f t="shared" si="17"/>
        <v>782.61515726829293</v>
      </c>
      <c r="S147" s="5">
        <f t="shared" si="30"/>
        <v>594242.81937444385</v>
      </c>
      <c r="T147" s="82">
        <v>0.65509259259259256</v>
      </c>
      <c r="U147" s="60">
        <f t="shared" si="18"/>
        <v>137045.00437677983</v>
      </c>
      <c r="V147" s="60">
        <f t="shared" si="19"/>
        <v>54276.314151680366</v>
      </c>
      <c r="W147" s="60">
        <f t="shared" si="20"/>
        <v>26933.150165714367</v>
      </c>
      <c r="X147" s="60">
        <f t="shared" si="21"/>
        <v>7194.7118754077037</v>
      </c>
      <c r="Y147" s="60">
        <f t="shared" si="22"/>
        <v>225449.18056958224</v>
      </c>
      <c r="Z147" s="63">
        <f t="shared" si="23"/>
        <v>0.3793889858137644</v>
      </c>
      <c r="AA147" s="59">
        <f t="shared" si="24"/>
        <v>225456.24680363736</v>
      </c>
      <c r="AB147" s="60"/>
      <c r="AC147" s="59">
        <v>227921.16904601367</v>
      </c>
      <c r="AD147" s="106">
        <f t="shared" si="31"/>
        <v>-2464.9222423763131</v>
      </c>
      <c r="AE147" s="106">
        <v>-2477.959048552817</v>
      </c>
      <c r="AF147" s="106">
        <f t="shared" si="32"/>
        <v>13.036806176503887</v>
      </c>
      <c r="AG147" s="59"/>
    </row>
    <row r="148" spans="2:33" x14ac:dyDescent="0.35">
      <c r="B148">
        <v>275</v>
      </c>
      <c r="C148" s="17">
        <v>7</v>
      </c>
      <c r="D148" s="22" t="s">
        <v>145</v>
      </c>
      <c r="E148" s="90">
        <v>690.47</v>
      </c>
      <c r="F148" s="90">
        <f>INDEX('Revised 2019 Lockdown'!H$5:H$257,MATCH(B148,'Revised 2019 Lockdown'!B$5:B$257,0))</f>
        <v>689.9799999999999</v>
      </c>
      <c r="G148" s="90">
        <f t="shared" si="25"/>
        <v>-0.49000000000012278</v>
      </c>
      <c r="H148" s="5">
        <v>404511.52</v>
      </c>
      <c r="I148" s="5">
        <f>INDEX('Revised 2019 Lockdown'!E$5:E$257,MATCH(B148,'Revised 2019 Lockdown'!B$5:B$257,0))</f>
        <v>403137.48</v>
      </c>
      <c r="J148" s="5">
        <f t="shared" si="26"/>
        <v>-1374.0400000000373</v>
      </c>
      <c r="K148" s="5">
        <v>70724.679999999993</v>
      </c>
      <c r="L148" s="5">
        <f>INDEX('Revised 2019 Lockdown'!F$5:F$257,MATCH(B148,'Revised 2019 Lockdown'!B$5:B$257,0))</f>
        <v>66785.36</v>
      </c>
      <c r="M148" s="5">
        <f t="shared" si="27"/>
        <v>-3939.3199999999924</v>
      </c>
      <c r="N148" s="5">
        <v>333786.84000000003</v>
      </c>
      <c r="O148" s="60">
        <f>INDEX('Revised 2019 Lockdown'!G$5:G$257,MATCH(B148,'Revised 2019 Lockdown'!B$5:B$257,0))</f>
        <v>336352.12</v>
      </c>
      <c r="P148" s="5">
        <f t="shared" si="28"/>
        <v>2565.2799999999697</v>
      </c>
      <c r="Q148" s="58">
        <f t="shared" si="29"/>
        <v>487.48097046291201</v>
      </c>
      <c r="R148" s="6">
        <f t="shared" si="17"/>
        <v>487.48097046291201</v>
      </c>
      <c r="S148" s="5">
        <f t="shared" si="30"/>
        <v>336352.12</v>
      </c>
      <c r="T148" s="82">
        <v>0.54629629629629628</v>
      </c>
      <c r="U148" s="60">
        <f t="shared" si="18"/>
        <v>77569.936488359293</v>
      </c>
      <c r="V148" s="60">
        <f t="shared" si="19"/>
        <v>49320.919208085841</v>
      </c>
      <c r="W148" s="60">
        <f t="shared" si="20"/>
        <v>12712.850702258884</v>
      </c>
      <c r="X148" s="60">
        <f t="shared" si="21"/>
        <v>4072.3362793513124</v>
      </c>
      <c r="Y148" s="60">
        <f t="shared" si="22"/>
        <v>143676.04267805532</v>
      </c>
      <c r="Z148" s="63">
        <f t="shared" si="23"/>
        <v>0.42715961676725966</v>
      </c>
      <c r="AA148" s="59">
        <f t="shared" si="24"/>
        <v>143680.54590376283</v>
      </c>
      <c r="AB148" s="60"/>
      <c r="AC148" s="59">
        <v>143339.9267347476</v>
      </c>
      <c r="AD148" s="106">
        <f t="shared" si="31"/>
        <v>340.61916901523364</v>
      </c>
      <c r="AE148" s="106">
        <v>342.12253904508543</v>
      </c>
      <c r="AF148" s="106">
        <f t="shared" si="32"/>
        <v>-1.5033700298517942</v>
      </c>
      <c r="AG148" s="59"/>
    </row>
    <row r="149" spans="2:33" x14ac:dyDescent="0.35">
      <c r="B149">
        <v>282</v>
      </c>
      <c r="C149" s="17">
        <v>7</v>
      </c>
      <c r="D149" s="22" t="s">
        <v>146</v>
      </c>
      <c r="E149" s="90">
        <v>110.63436611728881</v>
      </c>
      <c r="F149" s="90">
        <f>INDEX('Revised 2019 Lockdown'!H$5:H$257,MATCH(B149,'Revised 2019 Lockdown'!B$5:B$257,0))</f>
        <v>110.63436611728881</v>
      </c>
      <c r="G149" s="90">
        <f t="shared" si="25"/>
        <v>0</v>
      </c>
      <c r="H149" s="5">
        <v>58517.06</v>
      </c>
      <c r="I149" s="5">
        <f>INDEX('Revised 2019 Lockdown'!E$5:E$257,MATCH(B149,'Revised 2019 Lockdown'!B$5:B$257,0))</f>
        <v>58517.06</v>
      </c>
      <c r="J149" s="5">
        <f t="shared" si="26"/>
        <v>0</v>
      </c>
      <c r="K149" s="5">
        <v>0</v>
      </c>
      <c r="L149" s="5">
        <f>INDEX('Revised 2019 Lockdown'!F$5:F$257,MATCH(B149,'Revised 2019 Lockdown'!B$5:B$257,0))</f>
        <v>0</v>
      </c>
      <c r="M149" s="5">
        <f t="shared" si="27"/>
        <v>0</v>
      </c>
      <c r="N149" s="5">
        <v>58517.06</v>
      </c>
      <c r="O149" s="60">
        <f>INDEX('Revised 2019 Lockdown'!G$5:G$257,MATCH(B149,'Revised 2019 Lockdown'!B$5:B$257,0))</f>
        <v>58517.06</v>
      </c>
      <c r="P149" s="5">
        <f t="shared" si="28"/>
        <v>0</v>
      </c>
      <c r="Q149" s="58">
        <f t="shared" si="29"/>
        <v>528.92299249912321</v>
      </c>
      <c r="R149" s="6">
        <f t="shared" si="17"/>
        <v>528.92299249912321</v>
      </c>
      <c r="S149" s="5">
        <f t="shared" si="30"/>
        <v>58517.06</v>
      </c>
      <c r="T149" s="82">
        <v>0.2361111111111111</v>
      </c>
      <c r="U149" s="60">
        <f t="shared" si="18"/>
        <v>13495.275807048609</v>
      </c>
      <c r="V149" s="60">
        <f t="shared" si="19"/>
        <v>7908.3286949021585</v>
      </c>
      <c r="W149" s="60">
        <f t="shared" si="20"/>
        <v>955.91536966594299</v>
      </c>
      <c r="X149" s="60">
        <f t="shared" si="21"/>
        <v>708.48712473992293</v>
      </c>
      <c r="Y149" s="60">
        <f t="shared" si="22"/>
        <v>23068.006996356631</v>
      </c>
      <c r="Z149" s="63">
        <f t="shared" si="23"/>
        <v>0.39420994486661892</v>
      </c>
      <c r="AA149" s="59">
        <f t="shared" si="24"/>
        <v>23068.73001489327</v>
      </c>
      <c r="AB149" s="60"/>
      <c r="AC149" s="59">
        <v>23124.356097730004</v>
      </c>
      <c r="AD149" s="106">
        <f t="shared" si="31"/>
        <v>-55.626082836733985</v>
      </c>
      <c r="AE149" s="106">
        <v>-55.380624943347357</v>
      </c>
      <c r="AF149" s="106">
        <f t="shared" si="32"/>
        <v>-0.24545789338662871</v>
      </c>
      <c r="AG149" s="59"/>
    </row>
    <row r="150" spans="2:33" x14ac:dyDescent="0.35">
      <c r="B150">
        <v>287</v>
      </c>
      <c r="C150" s="17">
        <v>7</v>
      </c>
      <c r="D150" s="22" t="s">
        <v>147</v>
      </c>
      <c r="E150" s="90">
        <v>159.07256423396998</v>
      </c>
      <c r="F150" s="90">
        <f>INDEX('Revised 2019 Lockdown'!H$5:H$257,MATCH(B150,'Revised 2019 Lockdown'!B$5:B$257,0))</f>
        <v>159.07256423396998</v>
      </c>
      <c r="G150" s="90">
        <f t="shared" si="25"/>
        <v>0</v>
      </c>
      <c r="H150" s="5">
        <v>122709.58</v>
      </c>
      <c r="I150" s="5">
        <f>INDEX('Revised 2019 Lockdown'!E$5:E$257,MATCH(B150,'Revised 2019 Lockdown'!B$5:B$257,0))</f>
        <v>122709.58</v>
      </c>
      <c r="J150" s="5">
        <f t="shared" si="26"/>
        <v>0</v>
      </c>
      <c r="K150" s="5">
        <v>1002.5</v>
      </c>
      <c r="L150" s="5">
        <f>INDEX('Revised 2019 Lockdown'!F$5:F$257,MATCH(B150,'Revised 2019 Lockdown'!B$5:B$257,0))</f>
        <v>1002.5</v>
      </c>
      <c r="M150" s="5">
        <f t="shared" si="27"/>
        <v>0</v>
      </c>
      <c r="N150" s="5">
        <v>121707.08</v>
      </c>
      <c r="O150" s="60">
        <f>INDEX('Revised 2019 Lockdown'!G$5:G$257,MATCH(B150,'Revised 2019 Lockdown'!B$5:B$257,0))</f>
        <v>121707.08</v>
      </c>
      <c r="P150" s="5">
        <f t="shared" si="28"/>
        <v>0</v>
      </c>
      <c r="Q150" s="58">
        <f t="shared" si="29"/>
        <v>765.1041559937928</v>
      </c>
      <c r="R150" s="6">
        <f t="shared" si="17"/>
        <v>765.1041559937928</v>
      </c>
      <c r="S150" s="5">
        <f t="shared" si="30"/>
        <v>121707.08</v>
      </c>
      <c r="T150" s="82">
        <v>0.26388888888888884</v>
      </c>
      <c r="U150" s="60">
        <f t="shared" si="18"/>
        <v>28068.235353425644</v>
      </c>
      <c r="V150" s="60">
        <f t="shared" si="19"/>
        <v>11370.77174527766</v>
      </c>
      <c r="W150" s="60">
        <f t="shared" si="20"/>
        <v>2222.0686321461963</v>
      </c>
      <c r="X150" s="60">
        <f t="shared" si="21"/>
        <v>1473.551459517819</v>
      </c>
      <c r="Y150" s="60">
        <f t="shared" si="22"/>
        <v>43134.627190367319</v>
      </c>
      <c r="Z150" s="63">
        <f t="shared" si="23"/>
        <v>0.35441345885849301</v>
      </c>
      <c r="AA150" s="59">
        <f t="shared" si="24"/>
        <v>43135.979155235131</v>
      </c>
      <c r="AB150" s="60"/>
      <c r="AC150" s="59">
        <v>43245.813885739561</v>
      </c>
      <c r="AD150" s="106">
        <f t="shared" si="31"/>
        <v>-109.8347305044299</v>
      </c>
      <c r="AE150" s="106">
        <v>-109.32293239551655</v>
      </c>
      <c r="AF150" s="106">
        <f t="shared" si="32"/>
        <v>-0.51179810891335364</v>
      </c>
      <c r="AG150" s="59"/>
    </row>
    <row r="151" spans="2:33" x14ac:dyDescent="0.35">
      <c r="B151">
        <v>290</v>
      </c>
      <c r="C151" s="17">
        <v>7</v>
      </c>
      <c r="D151" s="22" t="s">
        <v>148</v>
      </c>
      <c r="E151" s="90">
        <v>274.8776164213059</v>
      </c>
      <c r="F151" s="90">
        <f>INDEX('Revised 2019 Lockdown'!H$5:H$257,MATCH(B151,'Revised 2019 Lockdown'!B$5:B$257,0))</f>
        <v>274.8776164213059</v>
      </c>
      <c r="G151" s="90">
        <f t="shared" si="25"/>
        <v>0</v>
      </c>
      <c r="H151" s="5">
        <v>123807.44</v>
      </c>
      <c r="I151" s="5">
        <f>INDEX('Revised 2019 Lockdown'!E$5:E$257,MATCH(B151,'Revised 2019 Lockdown'!B$5:B$257,0))</f>
        <v>123660.23</v>
      </c>
      <c r="J151" s="5">
        <f t="shared" si="26"/>
        <v>-147.2100000000064</v>
      </c>
      <c r="K151" s="5">
        <v>4228.57</v>
      </c>
      <c r="L151" s="5">
        <f>INDEX('Revised 2019 Lockdown'!F$5:F$257,MATCH(B151,'Revised 2019 Lockdown'!B$5:B$257,0))</f>
        <v>4228.57</v>
      </c>
      <c r="M151" s="5">
        <f t="shared" si="27"/>
        <v>0</v>
      </c>
      <c r="N151" s="5">
        <v>119578.87</v>
      </c>
      <c r="O151" s="60">
        <f>INDEX('Revised 2019 Lockdown'!G$5:G$257,MATCH(B151,'Revised 2019 Lockdown'!B$5:B$257,0))</f>
        <v>119431.66</v>
      </c>
      <c r="P151" s="5">
        <f t="shared" si="28"/>
        <v>-147.20999999999185</v>
      </c>
      <c r="Q151" s="58">
        <f t="shared" si="29"/>
        <v>434.49030719528167</v>
      </c>
      <c r="R151" s="6">
        <f t="shared" si="17"/>
        <v>434.49030719528167</v>
      </c>
      <c r="S151" s="5">
        <f t="shared" si="30"/>
        <v>119431.66</v>
      </c>
      <c r="T151" s="82">
        <v>0.58333333333333326</v>
      </c>
      <c r="U151" s="60">
        <f t="shared" si="18"/>
        <v>27543.475215495364</v>
      </c>
      <c r="V151" s="60">
        <f t="shared" si="19"/>
        <v>19648.70968959454</v>
      </c>
      <c r="W151" s="60">
        <f t="shared" si="20"/>
        <v>4820.1081627116873</v>
      </c>
      <c r="X151" s="60">
        <f t="shared" si="21"/>
        <v>1446.0021299141836</v>
      </c>
      <c r="Y151" s="60">
        <f t="shared" si="22"/>
        <v>53458.295197715772</v>
      </c>
      <c r="Z151" s="63">
        <f t="shared" si="23"/>
        <v>0.44760572864612092</v>
      </c>
      <c r="AA151" s="59">
        <f t="shared" si="24"/>
        <v>53459.970736411902</v>
      </c>
      <c r="AB151" s="60"/>
      <c r="AC151" s="59">
        <v>53628.329792216522</v>
      </c>
      <c r="AD151" s="106">
        <f t="shared" si="31"/>
        <v>-168.35905580461986</v>
      </c>
      <c r="AE151" s="106">
        <v>-126.13568676013529</v>
      </c>
      <c r="AF151" s="106">
        <f t="shared" si="32"/>
        <v>-42.223369044484571</v>
      </c>
      <c r="AG151" s="59"/>
    </row>
    <row r="152" spans="2:33" x14ac:dyDescent="0.35">
      <c r="B152">
        <v>294</v>
      </c>
      <c r="C152" s="17">
        <v>7</v>
      </c>
      <c r="D152" s="22" t="s">
        <v>149</v>
      </c>
      <c r="E152" s="90">
        <v>1039.1314711563653</v>
      </c>
      <c r="F152" s="90">
        <f>INDEX('Revised 2019 Lockdown'!H$5:H$257,MATCH(B152,'Revised 2019 Lockdown'!B$5:B$257,0))</f>
        <v>1039.1314711563653</v>
      </c>
      <c r="G152" s="90">
        <f t="shared" si="25"/>
        <v>0</v>
      </c>
      <c r="H152" s="5">
        <v>583456.06000000006</v>
      </c>
      <c r="I152" s="5">
        <f>INDEX('Revised 2019 Lockdown'!E$5:E$257,MATCH(B152,'Revised 2019 Lockdown'!B$5:B$257,0))</f>
        <v>587423.01</v>
      </c>
      <c r="J152" s="5">
        <f t="shared" si="26"/>
        <v>3966.9499999999534</v>
      </c>
      <c r="K152" s="5">
        <v>1414</v>
      </c>
      <c r="L152" s="5">
        <f>INDEX('Revised 2019 Lockdown'!F$5:F$257,MATCH(B152,'Revised 2019 Lockdown'!B$5:B$257,0))</f>
        <v>1414</v>
      </c>
      <c r="M152" s="5">
        <f t="shared" si="27"/>
        <v>0</v>
      </c>
      <c r="N152" s="5">
        <v>582042.06000000006</v>
      </c>
      <c r="O152" s="60">
        <f>INDEX('Revised 2019 Lockdown'!G$5:G$257,MATCH(B152,'Revised 2019 Lockdown'!B$5:B$257,0))</f>
        <v>586009.01</v>
      </c>
      <c r="P152" s="5">
        <f t="shared" si="28"/>
        <v>3966.9499999999534</v>
      </c>
      <c r="Q152" s="58">
        <f t="shared" si="29"/>
        <v>563.94116265950265</v>
      </c>
      <c r="R152" s="6">
        <f t="shared" si="17"/>
        <v>563.94116265950265</v>
      </c>
      <c r="S152" s="5">
        <f t="shared" si="30"/>
        <v>586009.01</v>
      </c>
      <c r="T152" s="82">
        <v>0.875</v>
      </c>
      <c r="U152" s="60">
        <f t="shared" si="18"/>
        <v>135146.11320810558</v>
      </c>
      <c r="V152" s="60">
        <f t="shared" si="19"/>
        <v>74278.847699183272</v>
      </c>
      <c r="W152" s="60">
        <f t="shared" si="20"/>
        <v>35475.854717127717</v>
      </c>
      <c r="X152" s="60">
        <f t="shared" si="21"/>
        <v>7095.0221792856446</v>
      </c>
      <c r="Y152" s="60">
        <f t="shared" si="22"/>
        <v>251995.83780370222</v>
      </c>
      <c r="Z152" s="63">
        <f t="shared" si="23"/>
        <v>0.43002041522143525</v>
      </c>
      <c r="AA152" s="59">
        <f t="shared" si="24"/>
        <v>252003.73608732579</v>
      </c>
      <c r="AB152" s="60"/>
      <c r="AC152" s="59">
        <v>251424.51840152004</v>
      </c>
      <c r="AD152" s="106">
        <f t="shared" si="31"/>
        <v>579.21768580575008</v>
      </c>
      <c r="AE152" s="106">
        <v>582.04817734385142</v>
      </c>
      <c r="AF152" s="106">
        <f t="shared" si="32"/>
        <v>-2.8304915381013416</v>
      </c>
      <c r="AG152" s="59"/>
    </row>
    <row r="153" spans="2:33" x14ac:dyDescent="0.35">
      <c r="B153">
        <v>296</v>
      </c>
      <c r="C153" s="17">
        <v>7</v>
      </c>
      <c r="D153" s="22" t="s">
        <v>150</v>
      </c>
      <c r="E153" s="90">
        <v>799.83</v>
      </c>
      <c r="F153" s="90">
        <f>INDEX('Revised 2019 Lockdown'!H$5:H$257,MATCH(B153,'Revised 2019 Lockdown'!B$5:B$257,0))</f>
        <v>799.83</v>
      </c>
      <c r="G153" s="90">
        <f t="shared" si="25"/>
        <v>0</v>
      </c>
      <c r="H153" s="5">
        <v>880549.01</v>
      </c>
      <c r="I153" s="5">
        <f>INDEX('Revised 2019 Lockdown'!E$5:E$257,MATCH(B153,'Revised 2019 Lockdown'!B$5:B$257,0))</f>
        <v>880549.01</v>
      </c>
      <c r="J153" s="5">
        <f t="shared" si="26"/>
        <v>0</v>
      </c>
      <c r="K153" s="5">
        <v>140281.66999999998</v>
      </c>
      <c r="L153" s="5">
        <f>INDEX('Revised 2019 Lockdown'!F$5:F$257,MATCH(B153,'Revised 2019 Lockdown'!B$5:B$257,0))</f>
        <v>140281.66999999998</v>
      </c>
      <c r="M153" s="5">
        <f t="shared" si="27"/>
        <v>0</v>
      </c>
      <c r="N153" s="5">
        <v>740267.34000000008</v>
      </c>
      <c r="O153" s="60">
        <f>INDEX('Revised 2019 Lockdown'!G$5:G$257,MATCH(B153,'Revised 2019 Lockdown'!B$5:B$257,0))</f>
        <v>740267.34000000008</v>
      </c>
      <c r="P153" s="5">
        <f t="shared" si="28"/>
        <v>0</v>
      </c>
      <c r="Q153" s="58">
        <f t="shared" si="29"/>
        <v>925.53085030569002</v>
      </c>
      <c r="R153" s="6">
        <f t="shared" si="17"/>
        <v>782.61515726829293</v>
      </c>
      <c r="S153" s="5">
        <f t="shared" si="30"/>
        <v>625959.08123789879</v>
      </c>
      <c r="T153" s="82">
        <v>0.52777777777777779</v>
      </c>
      <c r="U153" s="60">
        <f t="shared" si="18"/>
        <v>144359.44740272648</v>
      </c>
      <c r="V153" s="60">
        <f t="shared" si="19"/>
        <v>57173.180106964413</v>
      </c>
      <c r="W153" s="60">
        <f t="shared" si="20"/>
        <v>22856.912505431694</v>
      </c>
      <c r="X153" s="60">
        <f t="shared" si="21"/>
        <v>7578.7120827854778</v>
      </c>
      <c r="Y153" s="60">
        <f t="shared" si="22"/>
        <v>231968.25209790803</v>
      </c>
      <c r="Z153" s="63">
        <f t="shared" si="23"/>
        <v>0.3705805364132857</v>
      </c>
      <c r="AA153" s="59">
        <f t="shared" si="24"/>
        <v>231975.52265865498</v>
      </c>
      <c r="AB153" s="60"/>
      <c r="AC153" s="59">
        <v>234495.02754705097</v>
      </c>
      <c r="AD153" s="106">
        <f t="shared" si="31"/>
        <v>-2519.5048883959826</v>
      </c>
      <c r="AE153" s="106">
        <v>-2532.8171065522183</v>
      </c>
      <c r="AF153" s="106">
        <f t="shared" si="32"/>
        <v>13.312218156235758</v>
      </c>
      <c r="AG153" s="59"/>
    </row>
    <row r="154" spans="2:33" x14ac:dyDescent="0.35">
      <c r="B154">
        <v>301</v>
      </c>
      <c r="C154" s="17">
        <v>7</v>
      </c>
      <c r="D154" s="22" t="s">
        <v>151</v>
      </c>
      <c r="E154" s="90">
        <v>570.3041310256192</v>
      </c>
      <c r="F154" s="90">
        <f>INDEX('Revised 2019 Lockdown'!H$5:H$257,MATCH(B154,'Revised 2019 Lockdown'!B$5:B$257,0))</f>
        <v>570.3041310256192</v>
      </c>
      <c r="G154" s="90">
        <f t="shared" si="25"/>
        <v>0</v>
      </c>
      <c r="H154" s="5">
        <v>272819.37</v>
      </c>
      <c r="I154" s="5">
        <f>INDEX('Revised 2019 Lockdown'!E$5:E$257,MATCH(B154,'Revised 2019 Lockdown'!B$5:B$257,0))</f>
        <v>272819.37</v>
      </c>
      <c r="J154" s="5">
        <f t="shared" si="26"/>
        <v>0</v>
      </c>
      <c r="K154" s="5">
        <v>512.72</v>
      </c>
      <c r="L154" s="5">
        <f>INDEX('Revised 2019 Lockdown'!F$5:F$257,MATCH(B154,'Revised 2019 Lockdown'!B$5:B$257,0))</f>
        <v>512.72</v>
      </c>
      <c r="M154" s="5">
        <f t="shared" si="27"/>
        <v>0</v>
      </c>
      <c r="N154" s="5">
        <v>272306.65000000002</v>
      </c>
      <c r="O154" s="60">
        <f>INDEX('Revised 2019 Lockdown'!G$5:G$257,MATCH(B154,'Revised 2019 Lockdown'!B$5:B$257,0))</f>
        <v>272306.65000000002</v>
      </c>
      <c r="P154" s="5">
        <f t="shared" si="28"/>
        <v>0</v>
      </c>
      <c r="Q154" s="58">
        <f t="shared" si="29"/>
        <v>477.47620118109836</v>
      </c>
      <c r="R154" s="6">
        <f t="shared" ref="R154:R217" si="33">MIN(Q154,INDEX($V$3:$V$11,MATCH(C154,$S$3:$S$11,0)))</f>
        <v>477.47620118109836</v>
      </c>
      <c r="S154" s="5">
        <f t="shared" si="30"/>
        <v>272306.65000000002</v>
      </c>
      <c r="T154" s="82">
        <v>0.67361111111111116</v>
      </c>
      <c r="U154" s="60">
        <f t="shared" ref="U154:U217" si="34">$E$14*(S154/$S$24)</f>
        <v>62799.692018762616</v>
      </c>
      <c r="V154" s="60">
        <f t="shared" ref="V154:V217" si="35">$E$15*(F154/$F$24)</f>
        <v>40766.288834969375</v>
      </c>
      <c r="W154" s="60">
        <f t="shared" ref="W154:W217" si="36">IFERROR(T154*$E$16*(S154/$S$24),0)</f>
        <v>12690.771095458278</v>
      </c>
      <c r="X154" s="60">
        <f t="shared" ref="X154:X217" si="37">($W$23+$E$9)*(S154/$S$24)</f>
        <v>3296.9147032687656</v>
      </c>
      <c r="Y154" s="60">
        <f t="shared" ref="Y154:Y217" si="38">U154+V154+W154+X154</f>
        <v>119553.66665245903</v>
      </c>
      <c r="Z154" s="63">
        <f t="shared" ref="Z154:Z217" si="39">IFERROR((Y154/S154),0)</f>
        <v>0.43904056934510788</v>
      </c>
      <c r="AA154" s="59">
        <f t="shared" ref="AA154:AA217" si="40">IF(Z154&gt;$Z$19,$Z$19*S154,Y154+($Z$23*Y154/$Z$22))</f>
        <v>119557.41381263312</v>
      </c>
      <c r="AB154" s="60"/>
      <c r="AC154" s="59">
        <v>119845.80722066246</v>
      </c>
      <c r="AD154" s="106">
        <f t="shared" si="31"/>
        <v>-288.39340802934021</v>
      </c>
      <c r="AE154" s="106">
        <v>-287.11865957344708</v>
      </c>
      <c r="AF154" s="106">
        <f t="shared" si="32"/>
        <v>-1.2747484558931319</v>
      </c>
      <c r="AG154" s="59"/>
    </row>
    <row r="155" spans="2:33" x14ac:dyDescent="0.35">
      <c r="B155">
        <v>321</v>
      </c>
      <c r="C155" s="17">
        <v>7</v>
      </c>
      <c r="D155" s="22" t="s">
        <v>152</v>
      </c>
      <c r="E155" s="90">
        <v>367.13</v>
      </c>
      <c r="F155" s="90">
        <f>INDEX('Revised 2019 Lockdown'!H$5:H$257,MATCH(B155,'Revised 2019 Lockdown'!B$5:B$257,0))</f>
        <v>367.13</v>
      </c>
      <c r="G155" s="90">
        <f t="shared" ref="G155:G218" si="41">F155-E155</f>
        <v>0</v>
      </c>
      <c r="H155" s="5">
        <v>499165.92</v>
      </c>
      <c r="I155" s="5">
        <f>INDEX('Revised 2019 Lockdown'!E$5:E$257,MATCH(B155,'Revised 2019 Lockdown'!B$5:B$257,0))</f>
        <v>499165.92</v>
      </c>
      <c r="J155" s="5">
        <f t="shared" ref="J155:J218" si="42">I155-H155</f>
        <v>0</v>
      </c>
      <c r="K155" s="5">
        <v>29784.109999999997</v>
      </c>
      <c r="L155" s="5">
        <f>INDEX('Revised 2019 Lockdown'!F$5:F$257,MATCH(B155,'Revised 2019 Lockdown'!B$5:B$257,0))</f>
        <v>29784.109999999997</v>
      </c>
      <c r="M155" s="5">
        <f t="shared" ref="M155:M218" si="43">L155-K155</f>
        <v>0</v>
      </c>
      <c r="N155" s="5">
        <v>469381.81</v>
      </c>
      <c r="O155" s="60">
        <f>INDEX('Revised 2019 Lockdown'!G$5:G$257,MATCH(B155,'Revised 2019 Lockdown'!B$5:B$257,0))</f>
        <v>469381.81</v>
      </c>
      <c r="P155" s="5">
        <f t="shared" ref="P155:P218" si="44">O155-N155</f>
        <v>0</v>
      </c>
      <c r="Q155" s="58">
        <f t="shared" ref="Q155:Q218" si="45">IFERROR(O155/F155,"n.a.")</f>
        <v>1278.5166289870074</v>
      </c>
      <c r="R155" s="6">
        <f t="shared" si="33"/>
        <v>782.61515726829293</v>
      </c>
      <c r="S155" s="5">
        <f t="shared" ref="S155:S218" si="46">F155*R155</f>
        <v>287321.50268790836</v>
      </c>
      <c r="T155" s="82">
        <v>0.49999999999999994</v>
      </c>
      <c r="U155" s="60">
        <f t="shared" si="34"/>
        <v>66262.435673784392</v>
      </c>
      <c r="V155" s="60">
        <f t="shared" si="35"/>
        <v>26243.063666866514</v>
      </c>
      <c r="W155" s="60">
        <f t="shared" si="36"/>
        <v>9939.3653510676559</v>
      </c>
      <c r="X155" s="60">
        <f t="shared" si="37"/>
        <v>3478.7049334896565</v>
      </c>
      <c r="Y155" s="60">
        <f t="shared" si="38"/>
        <v>105923.56962520821</v>
      </c>
      <c r="Z155" s="63">
        <f t="shared" si="39"/>
        <v>0.36865869290772679</v>
      </c>
      <c r="AA155" s="59">
        <f t="shared" si="40"/>
        <v>105926.88957843685</v>
      </c>
      <c r="AB155" s="60"/>
      <c r="AC155" s="59">
        <v>107075.65859493148</v>
      </c>
      <c r="AD155" s="106">
        <f t="shared" ref="AD155:AD218" si="47">AA155-AC155</f>
        <v>-1148.7690164946252</v>
      </c>
      <c r="AE155" s="106">
        <v>-1154.8373566318623</v>
      </c>
      <c r="AF155" s="106">
        <f t="shared" ref="AF155:AF218" si="48">AD155-AE155</f>
        <v>6.0683401372371009</v>
      </c>
      <c r="AG155" s="59"/>
    </row>
    <row r="156" spans="2:33" x14ac:dyDescent="0.35">
      <c r="B156">
        <v>325</v>
      </c>
      <c r="C156" s="17">
        <v>7</v>
      </c>
      <c r="D156" s="22" t="s">
        <v>153</v>
      </c>
      <c r="E156" s="90">
        <v>334.4714798023104</v>
      </c>
      <c r="F156" s="90">
        <f>INDEX('Revised 2019 Lockdown'!H$5:H$257,MATCH(B156,'Revised 2019 Lockdown'!B$5:B$257,0))</f>
        <v>334.4714798023104</v>
      </c>
      <c r="G156" s="90">
        <f t="shared" si="41"/>
        <v>0</v>
      </c>
      <c r="H156" s="5">
        <v>167952.06</v>
      </c>
      <c r="I156" s="5">
        <f>INDEX('Revised 2019 Lockdown'!E$5:E$257,MATCH(B156,'Revised 2019 Lockdown'!B$5:B$257,0))</f>
        <v>167952.06</v>
      </c>
      <c r="J156" s="5">
        <f t="shared" si="42"/>
        <v>0</v>
      </c>
      <c r="K156" s="5">
        <v>0</v>
      </c>
      <c r="L156" s="5">
        <f>INDEX('Revised 2019 Lockdown'!F$5:F$257,MATCH(B156,'Revised 2019 Lockdown'!B$5:B$257,0))</f>
        <v>0</v>
      </c>
      <c r="M156" s="5">
        <f t="shared" si="43"/>
        <v>0</v>
      </c>
      <c r="N156" s="5">
        <v>167952.06</v>
      </c>
      <c r="O156" s="60">
        <f>INDEX('Revised 2019 Lockdown'!G$5:G$257,MATCH(B156,'Revised 2019 Lockdown'!B$5:B$257,0))</f>
        <v>167952.06</v>
      </c>
      <c r="P156" s="5">
        <f t="shared" si="44"/>
        <v>0</v>
      </c>
      <c r="Q156" s="58">
        <f t="shared" si="45"/>
        <v>502.14164776999274</v>
      </c>
      <c r="R156" s="6">
        <f t="shared" si="33"/>
        <v>502.14164776999274</v>
      </c>
      <c r="S156" s="5">
        <f t="shared" si="46"/>
        <v>167952.06</v>
      </c>
      <c r="T156" s="82">
        <v>0.24305555555555555</v>
      </c>
      <c r="U156" s="60">
        <f t="shared" si="34"/>
        <v>38733.309090750226</v>
      </c>
      <c r="V156" s="60">
        <f t="shared" si="35"/>
        <v>23908.578267107259</v>
      </c>
      <c r="W156" s="60">
        <f t="shared" si="36"/>
        <v>2824.3037878672039</v>
      </c>
      <c r="X156" s="60">
        <f t="shared" si="37"/>
        <v>2033.4560909852107</v>
      </c>
      <c r="Y156" s="60">
        <f t="shared" si="38"/>
        <v>67499.647236709905</v>
      </c>
      <c r="Z156" s="63">
        <f t="shared" si="39"/>
        <v>0.40189829905456298</v>
      </c>
      <c r="AA156" s="59">
        <f t="shared" si="40"/>
        <v>67501.762872281557</v>
      </c>
      <c r="AB156" s="60"/>
      <c r="AC156" s="59">
        <v>67663.218824153621</v>
      </c>
      <c r="AD156" s="106">
        <f t="shared" si="47"/>
        <v>-161.45595187206345</v>
      </c>
      <c r="AE156" s="106">
        <v>-160.76110809664533</v>
      </c>
      <c r="AF156" s="106">
        <f t="shared" si="48"/>
        <v>-0.69484377541812137</v>
      </c>
      <c r="AG156" s="59"/>
    </row>
    <row r="157" spans="2:33" x14ac:dyDescent="0.35">
      <c r="B157">
        <v>346</v>
      </c>
      <c r="C157" s="17">
        <v>7</v>
      </c>
      <c r="D157" s="22" t="s">
        <v>154</v>
      </c>
      <c r="E157" s="90">
        <v>223.88000000000002</v>
      </c>
      <c r="F157" s="90">
        <f>INDEX('Revised 2019 Lockdown'!H$5:H$257,MATCH(B157,'Revised 2019 Lockdown'!B$5:B$257,0))</f>
        <v>223.88000000000002</v>
      </c>
      <c r="G157" s="90">
        <f t="shared" si="41"/>
        <v>0</v>
      </c>
      <c r="H157" s="5">
        <v>141740.18</v>
      </c>
      <c r="I157" s="5">
        <f>INDEX('Revised 2019 Lockdown'!E$5:E$257,MATCH(B157,'Revised 2019 Lockdown'!B$5:B$257,0))</f>
        <v>141740.18</v>
      </c>
      <c r="J157" s="5">
        <f t="shared" si="42"/>
        <v>0</v>
      </c>
      <c r="K157" s="5">
        <v>18678.990000000002</v>
      </c>
      <c r="L157" s="5">
        <f>INDEX('Revised 2019 Lockdown'!F$5:F$257,MATCH(B157,'Revised 2019 Lockdown'!B$5:B$257,0))</f>
        <v>18678.990000000002</v>
      </c>
      <c r="M157" s="5">
        <f t="shared" si="43"/>
        <v>0</v>
      </c>
      <c r="N157" s="5">
        <v>123061.18999999999</v>
      </c>
      <c r="O157" s="60">
        <f>INDEX('Revised 2019 Lockdown'!G$5:G$257,MATCH(B157,'Revised 2019 Lockdown'!B$5:B$257,0))</f>
        <v>123061.18999999999</v>
      </c>
      <c r="P157" s="5">
        <f t="shared" si="44"/>
        <v>0</v>
      </c>
      <c r="Q157" s="58">
        <f t="shared" si="45"/>
        <v>549.67478113274956</v>
      </c>
      <c r="R157" s="6">
        <f t="shared" si="33"/>
        <v>549.67478113274956</v>
      </c>
      <c r="S157" s="5">
        <f t="shared" si="46"/>
        <v>123061.18999999999</v>
      </c>
      <c r="T157" s="82">
        <v>0.5532407407407407</v>
      </c>
      <c r="U157" s="60">
        <f t="shared" si="34"/>
        <v>28380.521854543138</v>
      </c>
      <c r="V157" s="60">
        <f t="shared" si="35"/>
        <v>16003.315157404939</v>
      </c>
      <c r="W157" s="60">
        <f t="shared" si="36"/>
        <v>4710.3782800248673</v>
      </c>
      <c r="X157" s="60">
        <f t="shared" si="37"/>
        <v>1489.9461570723711</v>
      </c>
      <c r="Y157" s="60">
        <f t="shared" si="38"/>
        <v>50584.161449045314</v>
      </c>
      <c r="Z157" s="63">
        <f t="shared" si="39"/>
        <v>0.41104885666265145</v>
      </c>
      <c r="AA157" s="59">
        <f t="shared" si="40"/>
        <v>50585.746904017375</v>
      </c>
      <c r="AB157" s="60"/>
      <c r="AC157" s="59">
        <v>50709.918497835664</v>
      </c>
      <c r="AD157" s="106">
        <f t="shared" si="47"/>
        <v>-124.17159381828969</v>
      </c>
      <c r="AE157" s="106">
        <v>-123.62061107169575</v>
      </c>
      <c r="AF157" s="106">
        <f t="shared" si="48"/>
        <v>-0.55098274659394519</v>
      </c>
      <c r="AG157" s="59"/>
    </row>
    <row r="158" spans="2:33" x14ac:dyDescent="0.35">
      <c r="B158">
        <v>358</v>
      </c>
      <c r="C158" s="17">
        <v>7</v>
      </c>
      <c r="D158" s="22" t="s">
        <v>155</v>
      </c>
      <c r="E158" s="90">
        <v>394.71</v>
      </c>
      <c r="F158" s="90">
        <f>INDEX('Revised 2019 Lockdown'!H$5:H$257,MATCH(B158,'Revised 2019 Lockdown'!B$5:B$257,0))</f>
        <v>394.71</v>
      </c>
      <c r="G158" s="90">
        <f t="shared" si="41"/>
        <v>0</v>
      </c>
      <c r="H158" s="5">
        <v>249358.72</v>
      </c>
      <c r="I158" s="5">
        <f>INDEX('Revised 2019 Lockdown'!E$5:E$257,MATCH(B158,'Revised 2019 Lockdown'!B$5:B$257,0))</f>
        <v>249358.72</v>
      </c>
      <c r="J158" s="5">
        <f t="shared" si="42"/>
        <v>0</v>
      </c>
      <c r="K158" s="5">
        <v>33885.050000000003</v>
      </c>
      <c r="L158" s="5">
        <f>INDEX('Revised 2019 Lockdown'!F$5:F$257,MATCH(B158,'Revised 2019 Lockdown'!B$5:B$257,0))</f>
        <v>33885.050000000003</v>
      </c>
      <c r="M158" s="5">
        <f t="shared" si="43"/>
        <v>0</v>
      </c>
      <c r="N158" s="5">
        <v>215473.66999999998</v>
      </c>
      <c r="O158" s="60">
        <f>INDEX('Revised 2019 Lockdown'!G$5:G$257,MATCH(B158,'Revised 2019 Lockdown'!B$5:B$257,0))</f>
        <v>215473.66999999998</v>
      </c>
      <c r="P158" s="5">
        <f t="shared" si="44"/>
        <v>0</v>
      </c>
      <c r="Q158" s="58">
        <f t="shared" si="45"/>
        <v>545.90375212181095</v>
      </c>
      <c r="R158" s="6">
        <f t="shared" si="33"/>
        <v>545.90375212181095</v>
      </c>
      <c r="S158" s="5">
        <f t="shared" si="46"/>
        <v>215473.66999999998</v>
      </c>
      <c r="T158" s="82">
        <v>0.78703703703703698</v>
      </c>
      <c r="U158" s="60">
        <f t="shared" si="34"/>
        <v>49692.800797015014</v>
      </c>
      <c r="V158" s="60">
        <f t="shared" si="35"/>
        <v>28214.527987222187</v>
      </c>
      <c r="W158" s="60">
        <f t="shared" si="36"/>
        <v>11733.022410406322</v>
      </c>
      <c r="X158" s="60">
        <f t="shared" si="37"/>
        <v>2608.8173417369048</v>
      </c>
      <c r="Y158" s="60">
        <f t="shared" si="38"/>
        <v>92249.168536380443</v>
      </c>
      <c r="Z158" s="63">
        <f t="shared" si="39"/>
        <v>0.42812269608802062</v>
      </c>
      <c r="AA158" s="59">
        <f t="shared" si="40"/>
        <v>92252.059894045262</v>
      </c>
      <c r="AB158" s="60"/>
      <c r="AC158" s="59">
        <v>92480.054915772766</v>
      </c>
      <c r="AD158" s="106">
        <f t="shared" si="47"/>
        <v>-227.99502172750363</v>
      </c>
      <c r="AE158" s="106">
        <v>-226.9750442388904</v>
      </c>
      <c r="AF158" s="106">
        <f t="shared" si="48"/>
        <v>-1.0199774886132218</v>
      </c>
      <c r="AG158" s="59"/>
    </row>
    <row r="159" spans="2:33" x14ac:dyDescent="0.35">
      <c r="B159">
        <v>361</v>
      </c>
      <c r="C159" s="17">
        <v>7</v>
      </c>
      <c r="D159" s="22" t="s">
        <v>156</v>
      </c>
      <c r="E159" s="90">
        <v>1529.9173871204</v>
      </c>
      <c r="F159" s="90">
        <f>INDEX('Revised 2019 Lockdown'!H$5:H$257,MATCH(B159,'Revised 2019 Lockdown'!B$5:B$257,0))</f>
        <v>1529.9173871204</v>
      </c>
      <c r="G159" s="90">
        <f t="shared" si="41"/>
        <v>0</v>
      </c>
      <c r="H159" s="5">
        <v>950847.24</v>
      </c>
      <c r="I159" s="5">
        <f>INDEX('Revised 2019 Lockdown'!E$5:E$257,MATCH(B159,'Revised 2019 Lockdown'!B$5:B$257,0))</f>
        <v>950847.24</v>
      </c>
      <c r="J159" s="5">
        <f t="shared" si="42"/>
        <v>0</v>
      </c>
      <c r="K159" s="5">
        <v>8401.06</v>
      </c>
      <c r="L159" s="5">
        <f>INDEX('Revised 2019 Lockdown'!F$5:F$257,MATCH(B159,'Revised 2019 Lockdown'!B$5:B$257,0))</f>
        <v>8401.06</v>
      </c>
      <c r="M159" s="5">
        <f t="shared" si="43"/>
        <v>0</v>
      </c>
      <c r="N159" s="5">
        <v>942446.17999999993</v>
      </c>
      <c r="O159" s="60">
        <f>INDEX('Revised 2019 Lockdown'!G$5:G$257,MATCH(B159,'Revised 2019 Lockdown'!B$5:B$257,0))</f>
        <v>942446.17999999993</v>
      </c>
      <c r="P159" s="5">
        <f t="shared" si="44"/>
        <v>0</v>
      </c>
      <c r="Q159" s="58">
        <f t="shared" si="45"/>
        <v>616.01115716049583</v>
      </c>
      <c r="R159" s="6">
        <f t="shared" si="33"/>
        <v>616.01115716049583</v>
      </c>
      <c r="S159" s="5">
        <f t="shared" si="46"/>
        <v>942446.17999999982</v>
      </c>
      <c r="T159" s="82">
        <v>0.3611111111111111</v>
      </c>
      <c r="U159" s="60">
        <f t="shared" si="34"/>
        <v>217348.08844462413</v>
      </c>
      <c r="V159" s="60">
        <f t="shared" si="35"/>
        <v>109361.04212471528</v>
      </c>
      <c r="W159" s="60">
        <f t="shared" si="36"/>
        <v>23546.042914834277</v>
      </c>
      <c r="X159" s="60">
        <f t="shared" si="37"/>
        <v>11410.535394128205</v>
      </c>
      <c r="Y159" s="60">
        <f t="shared" si="38"/>
        <v>361665.70887830184</v>
      </c>
      <c r="Z159" s="63">
        <f t="shared" si="39"/>
        <v>0.38375210866502946</v>
      </c>
      <c r="AA159" s="59">
        <f t="shared" si="40"/>
        <v>361677.04453515448</v>
      </c>
      <c r="AB159" s="60"/>
      <c r="AC159" s="59">
        <v>362573.84228530107</v>
      </c>
      <c r="AD159" s="106">
        <f t="shared" si="47"/>
        <v>-896.7977501465939</v>
      </c>
      <c r="AE159" s="106">
        <v>-892.77661868691212</v>
      </c>
      <c r="AF159" s="106">
        <f t="shared" si="48"/>
        <v>-4.0211314596817829</v>
      </c>
      <c r="AG159" s="59"/>
    </row>
    <row r="160" spans="2:33" x14ac:dyDescent="0.35">
      <c r="B160">
        <v>376</v>
      </c>
      <c r="C160" s="17">
        <v>7</v>
      </c>
      <c r="D160" s="22" t="s">
        <v>157</v>
      </c>
      <c r="E160" s="90">
        <v>640.18588281699169</v>
      </c>
      <c r="F160" s="90">
        <f>INDEX('Revised 2019 Lockdown'!H$5:H$257,MATCH(B160,'Revised 2019 Lockdown'!B$5:B$257,0))</f>
        <v>640.18588281699169</v>
      </c>
      <c r="G160" s="90">
        <f t="shared" si="41"/>
        <v>0</v>
      </c>
      <c r="H160" s="5">
        <v>292314.15999999997</v>
      </c>
      <c r="I160" s="5">
        <f>INDEX('Revised 2019 Lockdown'!E$5:E$257,MATCH(B160,'Revised 2019 Lockdown'!B$5:B$257,0))</f>
        <v>292314.15999999997</v>
      </c>
      <c r="J160" s="5">
        <f t="shared" si="42"/>
        <v>0</v>
      </c>
      <c r="K160" s="5">
        <v>428</v>
      </c>
      <c r="L160" s="5">
        <f>INDEX('Revised 2019 Lockdown'!F$5:F$257,MATCH(B160,'Revised 2019 Lockdown'!B$5:B$257,0))</f>
        <v>428</v>
      </c>
      <c r="M160" s="5">
        <f t="shared" si="43"/>
        <v>0</v>
      </c>
      <c r="N160" s="5">
        <v>291886.15999999997</v>
      </c>
      <c r="O160" s="60">
        <f>INDEX('Revised 2019 Lockdown'!G$5:G$257,MATCH(B160,'Revised 2019 Lockdown'!B$5:B$257,0))</f>
        <v>291886.15999999997</v>
      </c>
      <c r="P160" s="5">
        <f t="shared" si="44"/>
        <v>0</v>
      </c>
      <c r="Q160" s="58">
        <f t="shared" si="45"/>
        <v>455.93970100624779</v>
      </c>
      <c r="R160" s="6">
        <f t="shared" si="33"/>
        <v>455.93970100624779</v>
      </c>
      <c r="S160" s="5">
        <f t="shared" si="46"/>
        <v>291886.15999999997</v>
      </c>
      <c r="T160" s="82">
        <v>0.64814814814814814</v>
      </c>
      <c r="U160" s="60">
        <f t="shared" si="34"/>
        <v>67315.142515025858</v>
      </c>
      <c r="V160" s="60">
        <f t="shared" si="35"/>
        <v>45761.552805260966</v>
      </c>
      <c r="W160" s="60">
        <f t="shared" si="36"/>
        <v>13089.055489032806</v>
      </c>
      <c r="X160" s="60">
        <f t="shared" si="37"/>
        <v>3533.9708838717647</v>
      </c>
      <c r="Y160" s="60">
        <f t="shared" si="38"/>
        <v>129699.72169319139</v>
      </c>
      <c r="Z160" s="63">
        <f t="shared" si="39"/>
        <v>0.44435036485865381</v>
      </c>
      <c r="AA160" s="59">
        <f t="shared" si="40"/>
        <v>129703.78686028604</v>
      </c>
      <c r="AB160" s="60"/>
      <c r="AC160" s="59">
        <v>130014.05658885844</v>
      </c>
      <c r="AD160" s="106">
        <f t="shared" si="47"/>
        <v>-310.26972857239889</v>
      </c>
      <c r="AE160" s="106">
        <v>-308.91048563891673</v>
      </c>
      <c r="AF160" s="106">
        <f t="shared" si="48"/>
        <v>-1.3592429334821645</v>
      </c>
      <c r="AG160" s="59"/>
    </row>
    <row r="161" spans="2:33" x14ac:dyDescent="0.35">
      <c r="B161">
        <v>382</v>
      </c>
      <c r="C161" s="17">
        <v>7</v>
      </c>
      <c r="D161" s="22" t="s">
        <v>158</v>
      </c>
      <c r="E161" s="90">
        <v>165.19</v>
      </c>
      <c r="F161" s="90">
        <f>INDEX('Revised 2019 Lockdown'!H$5:H$257,MATCH(B161,'Revised 2019 Lockdown'!B$5:B$257,0))</f>
        <v>188.48</v>
      </c>
      <c r="G161" s="90">
        <f t="shared" si="41"/>
        <v>23.289999999999992</v>
      </c>
      <c r="H161" s="5">
        <v>102492.26</v>
      </c>
      <c r="I161" s="5">
        <f>INDEX('Revised 2019 Lockdown'!E$5:E$257,MATCH(B161,'Revised 2019 Lockdown'!B$5:B$257,0))</f>
        <v>102492.26</v>
      </c>
      <c r="J161" s="5">
        <f t="shared" si="42"/>
        <v>0</v>
      </c>
      <c r="K161" s="5">
        <v>19148.469999999998</v>
      </c>
      <c r="L161" s="5">
        <f>INDEX('Revised 2019 Lockdown'!F$5:F$257,MATCH(B161,'Revised 2019 Lockdown'!B$5:B$257,0))</f>
        <v>19148.469999999998</v>
      </c>
      <c r="M161" s="5">
        <f t="shared" si="43"/>
        <v>0</v>
      </c>
      <c r="N161" s="5">
        <v>83343.789999999994</v>
      </c>
      <c r="O161" s="60">
        <f>INDEX('Revised 2019 Lockdown'!G$5:G$257,MATCH(B161,'Revised 2019 Lockdown'!B$5:B$257,0))</f>
        <v>83343.789999999994</v>
      </c>
      <c r="P161" s="5">
        <f t="shared" si="44"/>
        <v>0</v>
      </c>
      <c r="Q161" s="58">
        <f t="shared" si="45"/>
        <v>442.18903862478777</v>
      </c>
      <c r="R161" s="6">
        <f t="shared" si="33"/>
        <v>442.18903862478777</v>
      </c>
      <c r="S161" s="5">
        <f t="shared" si="46"/>
        <v>83343.789999999994</v>
      </c>
      <c r="T161" s="82">
        <v>0.65046296296296302</v>
      </c>
      <c r="U161" s="60">
        <f t="shared" si="34"/>
        <v>19220.846584820556</v>
      </c>
      <c r="V161" s="60">
        <f t="shared" si="35"/>
        <v>13472.864216846894</v>
      </c>
      <c r="W161" s="60">
        <f t="shared" si="36"/>
        <v>3750.7346460656786</v>
      </c>
      <c r="X161" s="60">
        <f t="shared" si="37"/>
        <v>1009.0732880638217</v>
      </c>
      <c r="Y161" s="60">
        <f t="shared" si="38"/>
        <v>37453.518735796955</v>
      </c>
      <c r="Z161" s="63">
        <f t="shared" si="39"/>
        <v>0.44938583589487541</v>
      </c>
      <c r="AA161" s="59">
        <f t="shared" si="40"/>
        <v>37454.692638176668</v>
      </c>
      <c r="AB161" s="60"/>
      <c r="AC161" s="59">
        <v>35876.840863176636</v>
      </c>
      <c r="AD161" s="106">
        <f t="shared" si="47"/>
        <v>1577.8517750000319</v>
      </c>
      <c r="AE161" s="106">
        <v>1578.2338054933571</v>
      </c>
      <c r="AF161" s="106">
        <f t="shared" si="48"/>
        <v>-0.38203049332514638</v>
      </c>
      <c r="AG161" s="59"/>
    </row>
    <row r="162" spans="2:33" x14ac:dyDescent="0.35">
      <c r="B162">
        <v>389</v>
      </c>
      <c r="C162" s="17">
        <v>7</v>
      </c>
      <c r="D162" s="22" t="s">
        <v>159</v>
      </c>
      <c r="E162" s="90">
        <v>867.99901008098129</v>
      </c>
      <c r="F162" s="90">
        <f>INDEX('Revised 2019 Lockdown'!H$5:H$257,MATCH(B162,'Revised 2019 Lockdown'!B$5:B$257,0))</f>
        <v>867.99901008098129</v>
      </c>
      <c r="G162" s="90">
        <f t="shared" si="41"/>
        <v>0</v>
      </c>
      <c r="H162" s="5">
        <v>170757.02</v>
      </c>
      <c r="I162" s="5">
        <f>INDEX('Revised 2019 Lockdown'!E$5:E$257,MATCH(B162,'Revised 2019 Lockdown'!B$5:B$257,0))</f>
        <v>170757.02</v>
      </c>
      <c r="J162" s="5">
        <f t="shared" si="42"/>
        <v>0</v>
      </c>
      <c r="K162" s="5">
        <v>807.5</v>
      </c>
      <c r="L162" s="5">
        <f>INDEX('Revised 2019 Lockdown'!F$5:F$257,MATCH(B162,'Revised 2019 Lockdown'!B$5:B$257,0))</f>
        <v>807.5</v>
      </c>
      <c r="M162" s="5">
        <f t="shared" si="43"/>
        <v>0</v>
      </c>
      <c r="N162" s="5">
        <v>169949.52</v>
      </c>
      <c r="O162" s="60">
        <f>INDEX('Revised 2019 Lockdown'!G$5:G$257,MATCH(B162,'Revised 2019 Lockdown'!B$5:B$257,0))</f>
        <v>169949.52</v>
      </c>
      <c r="P162" s="5">
        <f t="shared" si="44"/>
        <v>0</v>
      </c>
      <c r="Q162" s="58">
        <f t="shared" si="45"/>
        <v>195.79460117603622</v>
      </c>
      <c r="R162" s="6">
        <f t="shared" si="33"/>
        <v>195.79460117603622</v>
      </c>
      <c r="S162" s="5">
        <f t="shared" si="46"/>
        <v>169949.52</v>
      </c>
      <c r="T162" s="82">
        <v>0.52546296296296291</v>
      </c>
      <c r="U162" s="60">
        <f t="shared" si="34"/>
        <v>39193.965754183882</v>
      </c>
      <c r="V162" s="60">
        <f t="shared" si="35"/>
        <v>62046.01444810367</v>
      </c>
      <c r="W162" s="60">
        <f t="shared" si="36"/>
        <v>6178.4932126387075</v>
      </c>
      <c r="X162" s="60">
        <f t="shared" si="37"/>
        <v>2057.6400587406479</v>
      </c>
      <c r="Y162" s="60">
        <f t="shared" si="38"/>
        <v>109476.11347366692</v>
      </c>
      <c r="Z162" s="63">
        <f t="shared" si="39"/>
        <v>0.6441684182083417</v>
      </c>
      <c r="AA162" s="59">
        <f t="shared" si="40"/>
        <v>109479.54477396837</v>
      </c>
      <c r="AB162" s="60"/>
      <c r="AC162" s="59">
        <v>109701.61068987174</v>
      </c>
      <c r="AD162" s="106">
        <f t="shared" si="47"/>
        <v>-222.06591590336757</v>
      </c>
      <c r="AE162" s="106">
        <v>-221.31032358258381</v>
      </c>
      <c r="AF162" s="106">
        <f t="shared" si="48"/>
        <v>-0.75559232078376226</v>
      </c>
      <c r="AG162" s="59"/>
    </row>
    <row r="163" spans="2:33" x14ac:dyDescent="0.35">
      <c r="B163">
        <v>420</v>
      </c>
      <c r="C163" s="17">
        <v>7</v>
      </c>
      <c r="D163" s="22" t="s">
        <v>255</v>
      </c>
      <c r="E163" s="90">
        <v>342.99823535503288</v>
      </c>
      <c r="F163" s="90">
        <f>INDEX('Revised 2019 Lockdown'!H$5:H$257,MATCH(B163,'Revised 2019 Lockdown'!B$5:B$257,0))</f>
        <v>342.99823535503288</v>
      </c>
      <c r="G163" s="90">
        <f t="shared" si="41"/>
        <v>0</v>
      </c>
      <c r="H163" s="5">
        <v>176959.11</v>
      </c>
      <c r="I163" s="5">
        <f>INDEX('Revised 2019 Lockdown'!E$5:E$257,MATCH(B163,'Revised 2019 Lockdown'!B$5:B$257,0))</f>
        <v>176959.11</v>
      </c>
      <c r="J163" s="5">
        <f t="shared" si="42"/>
        <v>0</v>
      </c>
      <c r="K163" s="5">
        <v>167</v>
      </c>
      <c r="L163" s="5">
        <f>INDEX('Revised 2019 Lockdown'!F$5:F$257,MATCH(B163,'Revised 2019 Lockdown'!B$5:B$257,0))</f>
        <v>167</v>
      </c>
      <c r="M163" s="5">
        <f t="shared" si="43"/>
        <v>0</v>
      </c>
      <c r="N163" s="5">
        <v>176792.11</v>
      </c>
      <c r="O163" s="60">
        <f>INDEX('Revised 2019 Lockdown'!G$5:G$257,MATCH(B163,'Revised 2019 Lockdown'!B$5:B$257,0))</f>
        <v>176792.11</v>
      </c>
      <c r="P163" s="5">
        <f t="shared" si="44"/>
        <v>0</v>
      </c>
      <c r="Q163" s="58">
        <f t="shared" si="45"/>
        <v>515.43154388827929</v>
      </c>
      <c r="R163" s="6">
        <f t="shared" si="33"/>
        <v>515.43154388827929</v>
      </c>
      <c r="S163" s="5">
        <f t="shared" si="46"/>
        <v>176792.11</v>
      </c>
      <c r="T163" s="82">
        <v>0.51388888888888884</v>
      </c>
      <c r="U163" s="60">
        <f t="shared" si="34"/>
        <v>40772.01221250822</v>
      </c>
      <c r="V163" s="60">
        <f t="shared" si="35"/>
        <v>24518.084950957404</v>
      </c>
      <c r="W163" s="60">
        <f t="shared" si="36"/>
        <v>6285.6852160950166</v>
      </c>
      <c r="X163" s="60">
        <f t="shared" si="37"/>
        <v>2140.4857607440322</v>
      </c>
      <c r="Y163" s="60">
        <f t="shared" si="38"/>
        <v>73716.268140304674</v>
      </c>
      <c r="Z163" s="63">
        <f t="shared" si="39"/>
        <v>0.41696582579564595</v>
      </c>
      <c r="AA163" s="59">
        <f t="shared" si="40"/>
        <v>73718.578622884539</v>
      </c>
      <c r="AB163" s="60"/>
      <c r="AC163" s="59">
        <v>73897.510930569537</v>
      </c>
      <c r="AD163" s="106">
        <f t="shared" si="47"/>
        <v>-178.9323076849978</v>
      </c>
      <c r="AE163" s="106">
        <v>-178.13658389155171</v>
      </c>
      <c r="AF163" s="106">
        <f t="shared" si="48"/>
        <v>-0.79572379344608635</v>
      </c>
      <c r="AG163" s="59"/>
    </row>
    <row r="164" spans="2:33" x14ac:dyDescent="0.35">
      <c r="B164">
        <v>434</v>
      </c>
      <c r="C164" s="17">
        <v>7</v>
      </c>
      <c r="D164" s="22" t="s">
        <v>160</v>
      </c>
      <c r="E164" s="90">
        <v>253.47632993519809</v>
      </c>
      <c r="F164" s="90">
        <f>INDEX('Revised 2019 Lockdown'!H$5:H$257,MATCH(B164,'Revised 2019 Lockdown'!B$5:B$257,0))</f>
        <v>253.47632993519809</v>
      </c>
      <c r="G164" s="90">
        <f t="shared" si="41"/>
        <v>0</v>
      </c>
      <c r="H164" s="5">
        <v>134168.73000000001</v>
      </c>
      <c r="I164" s="5">
        <f>INDEX('Revised 2019 Lockdown'!E$5:E$257,MATCH(B164,'Revised 2019 Lockdown'!B$5:B$257,0))</f>
        <v>134168.73000000001</v>
      </c>
      <c r="J164" s="5">
        <f t="shared" si="42"/>
        <v>0</v>
      </c>
      <c r="K164" s="5">
        <v>0</v>
      </c>
      <c r="L164" s="5">
        <f>INDEX('Revised 2019 Lockdown'!F$5:F$257,MATCH(B164,'Revised 2019 Lockdown'!B$5:B$257,0))</f>
        <v>0</v>
      </c>
      <c r="M164" s="5">
        <f t="shared" si="43"/>
        <v>0</v>
      </c>
      <c r="N164" s="5">
        <v>134168.73000000001</v>
      </c>
      <c r="O164" s="60">
        <f>INDEX('Revised 2019 Lockdown'!G$5:G$257,MATCH(B164,'Revised 2019 Lockdown'!B$5:B$257,0))</f>
        <v>134168.73000000001</v>
      </c>
      <c r="P164" s="5">
        <f t="shared" si="44"/>
        <v>0</v>
      </c>
      <c r="Q164" s="58">
        <f t="shared" si="45"/>
        <v>529.3146308150375</v>
      </c>
      <c r="R164" s="6">
        <f t="shared" si="33"/>
        <v>529.3146308150375</v>
      </c>
      <c r="S164" s="5">
        <f t="shared" si="46"/>
        <v>134168.73000000001</v>
      </c>
      <c r="T164" s="82">
        <v>0.40509259259259256</v>
      </c>
      <c r="U164" s="60">
        <f t="shared" si="34"/>
        <v>30942.15628795153</v>
      </c>
      <c r="V164" s="60">
        <f t="shared" si="35"/>
        <v>18118.910098692741</v>
      </c>
      <c r="W164" s="60">
        <f t="shared" si="36"/>
        <v>3760.3314933274419</v>
      </c>
      <c r="X164" s="60">
        <f t="shared" si="37"/>
        <v>1624.4291450682424</v>
      </c>
      <c r="Y164" s="60">
        <f t="shared" si="38"/>
        <v>54445.827025039958</v>
      </c>
      <c r="Z164" s="63">
        <f t="shared" si="39"/>
        <v>0.40580116562957669</v>
      </c>
      <c r="AA164" s="59">
        <f t="shared" si="40"/>
        <v>54447.533515860247</v>
      </c>
      <c r="AB164" s="60"/>
      <c r="AC164" s="59">
        <v>54579.704233016004</v>
      </c>
      <c r="AD164" s="106">
        <f t="shared" si="47"/>
        <v>-132.1707171557573</v>
      </c>
      <c r="AE164" s="106">
        <v>-131.58307527297438</v>
      </c>
      <c r="AF164" s="106">
        <f t="shared" si="48"/>
        <v>-0.5876418827829184</v>
      </c>
      <c r="AG164" s="59"/>
    </row>
    <row r="165" spans="2:33" x14ac:dyDescent="0.35">
      <c r="B165">
        <v>437</v>
      </c>
      <c r="C165" s="17">
        <v>7</v>
      </c>
      <c r="D165" s="22" t="s">
        <v>161</v>
      </c>
      <c r="E165" s="90">
        <v>305.36634845286437</v>
      </c>
      <c r="F165" s="90">
        <f>INDEX('Revised 2019 Lockdown'!H$5:H$257,MATCH(B165,'Revised 2019 Lockdown'!B$5:B$257,0))</f>
        <v>305.36634845286437</v>
      </c>
      <c r="G165" s="90">
        <f t="shared" si="41"/>
        <v>0</v>
      </c>
      <c r="H165" s="5">
        <v>243556.24</v>
      </c>
      <c r="I165" s="5">
        <f>INDEX('Revised 2019 Lockdown'!E$5:E$257,MATCH(B165,'Revised 2019 Lockdown'!B$5:B$257,0))</f>
        <v>243556.24</v>
      </c>
      <c r="J165" s="5">
        <f t="shared" si="42"/>
        <v>0</v>
      </c>
      <c r="K165" s="5">
        <v>0</v>
      </c>
      <c r="L165" s="5">
        <f>INDEX('Revised 2019 Lockdown'!F$5:F$257,MATCH(B165,'Revised 2019 Lockdown'!B$5:B$257,0))</f>
        <v>0</v>
      </c>
      <c r="M165" s="5">
        <f t="shared" si="43"/>
        <v>0</v>
      </c>
      <c r="N165" s="5">
        <v>243556.24</v>
      </c>
      <c r="O165" s="60">
        <f>INDEX('Revised 2019 Lockdown'!G$5:G$257,MATCH(B165,'Revised 2019 Lockdown'!B$5:B$257,0))</f>
        <v>243556.24</v>
      </c>
      <c r="P165" s="5">
        <f t="shared" si="44"/>
        <v>0</v>
      </c>
      <c r="Q165" s="58">
        <f t="shared" si="45"/>
        <v>797.58703352211307</v>
      </c>
      <c r="R165" s="6">
        <f t="shared" si="33"/>
        <v>782.61515726829293</v>
      </c>
      <c r="S165" s="5">
        <f t="shared" si="46"/>
        <v>238984.3328188828</v>
      </c>
      <c r="T165" s="82">
        <v>0.41782407407407401</v>
      </c>
      <c r="U165" s="60">
        <f t="shared" si="34"/>
        <v>55114.858554997845</v>
      </c>
      <c r="V165" s="60">
        <f t="shared" si="35"/>
        <v>21828.095018568529</v>
      </c>
      <c r="W165" s="60">
        <f t="shared" si="36"/>
        <v>6908.4944230396586</v>
      </c>
      <c r="X165" s="60">
        <f t="shared" si="37"/>
        <v>2893.4694056184485</v>
      </c>
      <c r="Y165" s="60">
        <f t="shared" si="38"/>
        <v>86744.917402224484</v>
      </c>
      <c r="Z165" s="63">
        <f t="shared" si="39"/>
        <v>0.36297323920378155</v>
      </c>
      <c r="AA165" s="59">
        <f t="shared" si="40"/>
        <v>86747.636240624823</v>
      </c>
      <c r="AB165" s="60"/>
      <c r="AC165" s="59">
        <v>87684.174410801264</v>
      </c>
      <c r="AD165" s="106">
        <f t="shared" si="47"/>
        <v>-936.53817017644178</v>
      </c>
      <c r="AE165" s="106">
        <v>-941.4402498431009</v>
      </c>
      <c r="AF165" s="106">
        <f t="shared" si="48"/>
        <v>4.9020796666591195</v>
      </c>
      <c r="AG165" s="59"/>
    </row>
    <row r="166" spans="2:33" x14ac:dyDescent="0.35">
      <c r="B166">
        <v>502</v>
      </c>
      <c r="C166" s="17">
        <v>7</v>
      </c>
      <c r="D166" s="22" t="s">
        <v>162</v>
      </c>
      <c r="E166" s="90">
        <v>497.74545729062561</v>
      </c>
      <c r="F166" s="90">
        <f>INDEX('Revised 2019 Lockdown'!H$5:H$257,MATCH(B166,'Revised 2019 Lockdown'!B$5:B$257,0))</f>
        <v>497.74545729062561</v>
      </c>
      <c r="G166" s="90">
        <f t="shared" si="41"/>
        <v>0</v>
      </c>
      <c r="H166" s="5">
        <v>294346.69</v>
      </c>
      <c r="I166" s="5">
        <f>INDEX('Revised 2019 Lockdown'!E$5:E$257,MATCH(B166,'Revised 2019 Lockdown'!B$5:B$257,0))</f>
        <v>294346.69</v>
      </c>
      <c r="J166" s="5">
        <f t="shared" si="42"/>
        <v>0</v>
      </c>
      <c r="K166" s="5">
        <v>0</v>
      </c>
      <c r="L166" s="5">
        <f>INDEX('Revised 2019 Lockdown'!F$5:F$257,MATCH(B166,'Revised 2019 Lockdown'!B$5:B$257,0))</f>
        <v>0</v>
      </c>
      <c r="M166" s="5">
        <f t="shared" si="43"/>
        <v>0</v>
      </c>
      <c r="N166" s="5">
        <v>294346.69</v>
      </c>
      <c r="O166" s="60">
        <f>INDEX('Revised 2019 Lockdown'!G$5:G$257,MATCH(B166,'Revised 2019 Lockdown'!B$5:B$257,0))</f>
        <v>294346.69</v>
      </c>
      <c r="P166" s="5">
        <f t="shared" si="44"/>
        <v>0</v>
      </c>
      <c r="Q166" s="58">
        <f t="shared" si="45"/>
        <v>591.35987217686591</v>
      </c>
      <c r="R166" s="6">
        <f t="shared" si="33"/>
        <v>591.35987217686591</v>
      </c>
      <c r="S166" s="5">
        <f t="shared" si="46"/>
        <v>294346.69</v>
      </c>
      <c r="T166" s="82">
        <v>0.31018518518518517</v>
      </c>
      <c r="U166" s="60">
        <f t="shared" si="34"/>
        <v>67882.592947113837</v>
      </c>
      <c r="V166" s="60">
        <f t="shared" si="35"/>
        <v>35579.674027106128</v>
      </c>
      <c r="W166" s="60">
        <f t="shared" si="36"/>
        <v>6316.8523992453147</v>
      </c>
      <c r="X166" s="60">
        <f t="shared" si="37"/>
        <v>3563.7614069266888</v>
      </c>
      <c r="Y166" s="60">
        <f t="shared" si="38"/>
        <v>113342.88078039196</v>
      </c>
      <c r="Z166" s="63">
        <f t="shared" si="39"/>
        <v>0.38506592610364315</v>
      </c>
      <c r="AA166" s="59">
        <f t="shared" si="40"/>
        <v>113346.43327644475</v>
      </c>
      <c r="AB166" s="60"/>
      <c r="AC166" s="59">
        <v>113625.28750871605</v>
      </c>
      <c r="AD166" s="106">
        <f t="shared" si="47"/>
        <v>-278.85423227130377</v>
      </c>
      <c r="AE166" s="106">
        <v>-277.59765445927042</v>
      </c>
      <c r="AF166" s="106">
        <f t="shared" si="48"/>
        <v>-1.2565778120333562</v>
      </c>
      <c r="AG166" s="59"/>
    </row>
    <row r="167" spans="2:33" x14ac:dyDescent="0.35">
      <c r="B167">
        <v>503</v>
      </c>
      <c r="C167" s="17">
        <v>7</v>
      </c>
      <c r="D167" s="22" t="s">
        <v>163</v>
      </c>
      <c r="E167" s="90">
        <v>391.2185740323925</v>
      </c>
      <c r="F167" s="90">
        <f>INDEX('Revised 2019 Lockdown'!H$5:H$257,MATCH(B167,'Revised 2019 Lockdown'!B$5:B$257,0))</f>
        <v>391.2185740323925</v>
      </c>
      <c r="G167" s="90">
        <f t="shared" si="41"/>
        <v>0</v>
      </c>
      <c r="H167" s="5">
        <v>213000.07</v>
      </c>
      <c r="I167" s="5">
        <f>INDEX('Revised 2019 Lockdown'!E$5:E$257,MATCH(B167,'Revised 2019 Lockdown'!B$5:B$257,0))</f>
        <v>213000.07</v>
      </c>
      <c r="J167" s="5">
        <f t="shared" si="42"/>
        <v>0</v>
      </c>
      <c r="K167" s="5">
        <v>33972.22</v>
      </c>
      <c r="L167" s="5">
        <f>INDEX('Revised 2019 Lockdown'!F$5:F$257,MATCH(B167,'Revised 2019 Lockdown'!B$5:B$257,0))</f>
        <v>33972.22</v>
      </c>
      <c r="M167" s="5">
        <f t="shared" si="43"/>
        <v>0</v>
      </c>
      <c r="N167" s="5">
        <v>179027.85</v>
      </c>
      <c r="O167" s="60">
        <f>INDEX('Revised 2019 Lockdown'!G$5:G$257,MATCH(B167,'Revised 2019 Lockdown'!B$5:B$257,0))</f>
        <v>179027.85</v>
      </c>
      <c r="P167" s="5">
        <f t="shared" si="44"/>
        <v>0</v>
      </c>
      <c r="Q167" s="58">
        <f t="shared" si="45"/>
        <v>457.61592593805807</v>
      </c>
      <c r="R167" s="6">
        <f t="shared" si="33"/>
        <v>457.61592593805807</v>
      </c>
      <c r="S167" s="5">
        <f t="shared" si="46"/>
        <v>179027.85</v>
      </c>
      <c r="T167" s="82">
        <v>0.73611111111111116</v>
      </c>
      <c r="U167" s="60">
        <f t="shared" si="34"/>
        <v>41287.621300402432</v>
      </c>
      <c r="V167" s="60">
        <f t="shared" si="35"/>
        <v>27964.955045876955</v>
      </c>
      <c r="W167" s="60">
        <f t="shared" si="36"/>
        <v>9117.6830371722044</v>
      </c>
      <c r="X167" s="60">
        <f t="shared" si="37"/>
        <v>2167.5546702939318</v>
      </c>
      <c r="Y167" s="60">
        <f t="shared" si="38"/>
        <v>80537.814053745518</v>
      </c>
      <c r="Z167" s="63">
        <f t="shared" si="39"/>
        <v>0.44986192960338584</v>
      </c>
      <c r="AA167" s="59">
        <f t="shared" si="40"/>
        <v>80540.338343445546</v>
      </c>
      <c r="AB167" s="60"/>
      <c r="AC167" s="59">
        <v>80733.737349276824</v>
      </c>
      <c r="AD167" s="106">
        <f t="shared" si="47"/>
        <v>-193.39900583127746</v>
      </c>
      <c r="AE167" s="106">
        <v>-192.56156352974358</v>
      </c>
      <c r="AF167" s="106">
        <f t="shared" si="48"/>
        <v>-0.83744230153388344</v>
      </c>
      <c r="AG167" s="59"/>
    </row>
    <row r="168" spans="2:33" x14ac:dyDescent="0.35">
      <c r="B168">
        <v>510</v>
      </c>
      <c r="C168" s="17">
        <v>7</v>
      </c>
      <c r="D168" s="22" t="s">
        <v>164</v>
      </c>
      <c r="E168" s="90">
        <v>507.29892721805413</v>
      </c>
      <c r="F168" s="90">
        <f>INDEX('Revised 2019 Lockdown'!H$5:H$257,MATCH(B168,'Revised 2019 Lockdown'!B$5:B$257,0))</f>
        <v>507.29892721805413</v>
      </c>
      <c r="G168" s="90">
        <f t="shared" si="41"/>
        <v>0</v>
      </c>
      <c r="H168" s="5">
        <v>259881.62</v>
      </c>
      <c r="I168" s="5">
        <f>INDEX('Revised 2019 Lockdown'!E$5:E$257,MATCH(B168,'Revised 2019 Lockdown'!B$5:B$257,0))</f>
        <v>285919.75</v>
      </c>
      <c r="J168" s="5">
        <f t="shared" si="42"/>
        <v>26038.130000000005</v>
      </c>
      <c r="K168" s="5">
        <v>1071</v>
      </c>
      <c r="L168" s="5">
        <f>INDEX('Revised 2019 Lockdown'!F$5:F$257,MATCH(B168,'Revised 2019 Lockdown'!B$5:B$257,0))</f>
        <v>1071</v>
      </c>
      <c r="M168" s="5">
        <f t="shared" si="43"/>
        <v>0</v>
      </c>
      <c r="N168" s="5">
        <v>258810.62</v>
      </c>
      <c r="O168" s="60">
        <f>INDEX('Revised 2019 Lockdown'!G$5:G$257,MATCH(B168,'Revised 2019 Lockdown'!B$5:B$257,0))</f>
        <v>284848.75</v>
      </c>
      <c r="P168" s="5">
        <f t="shared" si="44"/>
        <v>26038.130000000005</v>
      </c>
      <c r="Q168" s="58">
        <f t="shared" si="45"/>
        <v>561.50079315575294</v>
      </c>
      <c r="R168" s="6">
        <f t="shared" si="33"/>
        <v>561.50079315575294</v>
      </c>
      <c r="S168" s="5">
        <f t="shared" si="46"/>
        <v>284848.75</v>
      </c>
      <c r="T168" s="82">
        <v>0.37731481481481488</v>
      </c>
      <c r="U168" s="60">
        <f t="shared" si="34"/>
        <v>65692.166430491168</v>
      </c>
      <c r="V168" s="60">
        <f t="shared" si="35"/>
        <v>36262.571963926879</v>
      </c>
      <c r="W168" s="60">
        <f t="shared" si="36"/>
        <v>7435.988283451431</v>
      </c>
      <c r="X168" s="60">
        <f t="shared" si="37"/>
        <v>3448.7664259493067</v>
      </c>
      <c r="Y168" s="60">
        <f t="shared" si="38"/>
        <v>112839.49310381878</v>
      </c>
      <c r="Z168" s="63">
        <f t="shared" si="39"/>
        <v>0.39613827725703127</v>
      </c>
      <c r="AA168" s="59">
        <f t="shared" si="40"/>
        <v>112843.0298222354</v>
      </c>
      <c r="AB168" s="60"/>
      <c r="AC168" s="59">
        <v>106098.0606045543</v>
      </c>
      <c r="AD168" s="106">
        <f t="shared" si="47"/>
        <v>6744.9692176811077</v>
      </c>
      <c r="AE168" s="106">
        <v>6746.1896297086205</v>
      </c>
      <c r="AF168" s="106">
        <f t="shared" si="48"/>
        <v>-1.2204120275127934</v>
      </c>
      <c r="AG168" s="59"/>
    </row>
    <row r="169" spans="2:33" x14ac:dyDescent="0.35">
      <c r="B169">
        <v>531</v>
      </c>
      <c r="C169" s="17">
        <v>7</v>
      </c>
      <c r="D169" s="22" t="s">
        <v>165</v>
      </c>
      <c r="E169" s="90">
        <v>1984.57</v>
      </c>
      <c r="F169" s="90">
        <f>INDEX('Revised 2019 Lockdown'!H$5:H$257,MATCH(B169,'Revised 2019 Lockdown'!B$5:B$257,0))</f>
        <v>1984.57</v>
      </c>
      <c r="G169" s="90">
        <f t="shared" si="41"/>
        <v>0</v>
      </c>
      <c r="H169" s="5">
        <v>629818.71</v>
      </c>
      <c r="I169" s="5">
        <f>INDEX('Revised 2019 Lockdown'!E$5:E$257,MATCH(B169,'Revised 2019 Lockdown'!B$5:B$257,0))</f>
        <v>629818.71</v>
      </c>
      <c r="J169" s="5">
        <f t="shared" si="42"/>
        <v>0</v>
      </c>
      <c r="K169" s="5">
        <v>2609.7399999999998</v>
      </c>
      <c r="L169" s="5">
        <f>INDEX('Revised 2019 Lockdown'!F$5:F$257,MATCH(B169,'Revised 2019 Lockdown'!B$5:B$257,0))</f>
        <v>2609.7399999999998</v>
      </c>
      <c r="M169" s="5">
        <f t="shared" si="43"/>
        <v>0</v>
      </c>
      <c r="N169" s="5">
        <v>627208.97</v>
      </c>
      <c r="O169" s="60">
        <f>INDEX('Revised 2019 Lockdown'!G$5:G$257,MATCH(B169,'Revised 2019 Lockdown'!B$5:B$257,0))</f>
        <v>627208.97</v>
      </c>
      <c r="P169" s="5">
        <f t="shared" si="44"/>
        <v>0</v>
      </c>
      <c r="Q169" s="58">
        <f t="shared" si="45"/>
        <v>316.04275485369624</v>
      </c>
      <c r="R169" s="6">
        <f t="shared" si="33"/>
        <v>316.04275485369624</v>
      </c>
      <c r="S169" s="5">
        <f t="shared" si="46"/>
        <v>627208.97</v>
      </c>
      <c r="T169" s="82">
        <v>0.89814814814814814</v>
      </c>
      <c r="U169" s="60">
        <f t="shared" si="34"/>
        <v>144647.69827474034</v>
      </c>
      <c r="V169" s="60">
        <f t="shared" si="35"/>
        <v>141860.36788427335</v>
      </c>
      <c r="W169" s="60">
        <f t="shared" si="36"/>
        <v>38974.518701805035</v>
      </c>
      <c r="X169" s="60">
        <f t="shared" si="37"/>
        <v>7593.844936269672</v>
      </c>
      <c r="Y169" s="60">
        <f t="shared" si="38"/>
        <v>333076.42979708838</v>
      </c>
      <c r="Z169" s="63">
        <f t="shared" si="39"/>
        <v>0.53104538635199749</v>
      </c>
      <c r="AA169" s="59">
        <f t="shared" si="40"/>
        <v>333086.86938265373</v>
      </c>
      <c r="AB169" s="60"/>
      <c r="AC169" s="59">
        <v>333841.89929198747</v>
      </c>
      <c r="AD169" s="106">
        <f t="shared" si="47"/>
        <v>-755.02990933373803</v>
      </c>
      <c r="AE169" s="106">
        <v>-751.98472852708073</v>
      </c>
      <c r="AF169" s="106">
        <f t="shared" si="48"/>
        <v>-3.0451808066572994</v>
      </c>
      <c r="AG169" s="59"/>
    </row>
    <row r="170" spans="2:33" x14ac:dyDescent="0.35">
      <c r="B170">
        <v>551</v>
      </c>
      <c r="C170" s="17">
        <v>7</v>
      </c>
      <c r="D170" s="22" t="s">
        <v>167</v>
      </c>
      <c r="E170" s="90">
        <v>153.38752675955698</v>
      </c>
      <c r="F170" s="90">
        <f>INDEX('Revised 2019 Lockdown'!H$5:H$257,MATCH(B170,'Revised 2019 Lockdown'!B$5:B$257,0))</f>
        <v>153.38752675955698</v>
      </c>
      <c r="G170" s="90">
        <f t="shared" si="41"/>
        <v>0</v>
      </c>
      <c r="H170" s="5">
        <v>117853.72</v>
      </c>
      <c r="I170" s="5">
        <f>INDEX('Revised 2019 Lockdown'!E$5:E$257,MATCH(B170,'Revised 2019 Lockdown'!B$5:B$257,0))</f>
        <v>117853.72</v>
      </c>
      <c r="J170" s="5">
        <f t="shared" si="42"/>
        <v>0</v>
      </c>
      <c r="K170" s="5">
        <v>72</v>
      </c>
      <c r="L170" s="5">
        <f>INDEX('Revised 2019 Lockdown'!F$5:F$257,MATCH(B170,'Revised 2019 Lockdown'!B$5:B$257,0))</f>
        <v>72</v>
      </c>
      <c r="M170" s="5">
        <f t="shared" si="43"/>
        <v>0</v>
      </c>
      <c r="N170" s="5">
        <v>117781.72</v>
      </c>
      <c r="O170" s="60">
        <f>INDEX('Revised 2019 Lockdown'!G$5:G$257,MATCH(B170,'Revised 2019 Lockdown'!B$5:B$257,0))</f>
        <v>117781.72</v>
      </c>
      <c r="P170" s="5">
        <f t="shared" si="44"/>
        <v>0</v>
      </c>
      <c r="Q170" s="58">
        <f t="shared" si="45"/>
        <v>767.87025965044108</v>
      </c>
      <c r="R170" s="6">
        <f t="shared" si="33"/>
        <v>767.87025965044108</v>
      </c>
      <c r="S170" s="5">
        <f t="shared" si="46"/>
        <v>117781.72</v>
      </c>
      <c r="T170" s="82">
        <v>0.49074074074074076</v>
      </c>
      <c r="U170" s="60">
        <f t="shared" si="34"/>
        <v>27162.964038667928</v>
      </c>
      <c r="V170" s="60">
        <f t="shared" si="35"/>
        <v>10964.395801090199</v>
      </c>
      <c r="W170" s="60">
        <f t="shared" si="36"/>
        <v>3998.9919279150004</v>
      </c>
      <c r="X170" s="60">
        <f t="shared" si="37"/>
        <v>1426.0257119842092</v>
      </c>
      <c r="Y170" s="60">
        <f t="shared" si="38"/>
        <v>43552.377479657327</v>
      </c>
      <c r="Z170" s="63">
        <f t="shared" si="39"/>
        <v>0.36977196019600772</v>
      </c>
      <c r="AA170" s="59">
        <f t="shared" si="40"/>
        <v>43553.742538036116</v>
      </c>
      <c r="AB170" s="60"/>
      <c r="AC170" s="59">
        <v>43665.461069047538</v>
      </c>
      <c r="AD170" s="106">
        <f t="shared" si="47"/>
        <v>-111.71853101142187</v>
      </c>
      <c r="AE170" s="106">
        <v>-111.19924143012759</v>
      </c>
      <c r="AF170" s="106">
        <f t="shared" si="48"/>
        <v>-0.51928958129428793</v>
      </c>
      <c r="AG170" s="59"/>
    </row>
    <row r="171" spans="2:33" x14ac:dyDescent="0.35">
      <c r="B171">
        <v>555</v>
      </c>
      <c r="C171" s="17">
        <v>7</v>
      </c>
      <c r="D171" s="22" t="s">
        <v>168</v>
      </c>
      <c r="E171" s="90">
        <v>517.66739217631118</v>
      </c>
      <c r="F171" s="90">
        <f>INDEX('Revised 2019 Lockdown'!H$5:H$257,MATCH(B171,'Revised 2019 Lockdown'!B$5:B$257,0))</f>
        <v>517.66739217631118</v>
      </c>
      <c r="G171" s="90">
        <f t="shared" si="41"/>
        <v>0</v>
      </c>
      <c r="H171" s="5">
        <v>492608.68</v>
      </c>
      <c r="I171" s="5">
        <f>INDEX('Revised 2019 Lockdown'!E$5:E$257,MATCH(B171,'Revised 2019 Lockdown'!B$5:B$257,0))</f>
        <v>492608.68</v>
      </c>
      <c r="J171" s="5">
        <f t="shared" si="42"/>
        <v>0</v>
      </c>
      <c r="K171" s="5">
        <v>497.7</v>
      </c>
      <c r="L171" s="5">
        <f>INDEX('Revised 2019 Lockdown'!F$5:F$257,MATCH(B171,'Revised 2019 Lockdown'!B$5:B$257,0))</f>
        <v>497.7</v>
      </c>
      <c r="M171" s="5">
        <f t="shared" si="43"/>
        <v>0</v>
      </c>
      <c r="N171" s="5">
        <v>492110.98</v>
      </c>
      <c r="O171" s="60">
        <f>INDEX('Revised 2019 Lockdown'!G$5:G$257,MATCH(B171,'Revised 2019 Lockdown'!B$5:B$257,0))</f>
        <v>492110.98</v>
      </c>
      <c r="P171" s="5">
        <f t="shared" si="44"/>
        <v>0</v>
      </c>
      <c r="Q171" s="58">
        <f t="shared" si="45"/>
        <v>950.63159750342743</v>
      </c>
      <c r="R171" s="6">
        <f t="shared" si="33"/>
        <v>782.61515726829293</v>
      </c>
      <c r="S171" s="5">
        <f t="shared" si="46"/>
        <v>405134.34754073084</v>
      </c>
      <c r="T171" s="82">
        <v>0.65625</v>
      </c>
      <c r="U171" s="60">
        <f t="shared" si="34"/>
        <v>93432.577764003319</v>
      </c>
      <c r="V171" s="60">
        <f t="shared" si="35"/>
        <v>37003.727102507808</v>
      </c>
      <c r="W171" s="60">
        <f t="shared" si="36"/>
        <v>18394.538747288152</v>
      </c>
      <c r="X171" s="60">
        <f t="shared" si="37"/>
        <v>4905.1074852789443</v>
      </c>
      <c r="Y171" s="60">
        <f t="shared" si="38"/>
        <v>153735.95109907823</v>
      </c>
      <c r="Z171" s="63">
        <f t="shared" si="39"/>
        <v>0.3794690626264961</v>
      </c>
      <c r="AA171" s="59">
        <f t="shared" si="40"/>
        <v>153740.76963162029</v>
      </c>
      <c r="AB171" s="60"/>
      <c r="AC171" s="59">
        <v>155421.72188672333</v>
      </c>
      <c r="AD171" s="106">
        <f t="shared" si="47"/>
        <v>-1680.9522551030386</v>
      </c>
      <c r="AE171" s="106">
        <v>-1689.7687583611696</v>
      </c>
      <c r="AF171" s="106">
        <f t="shared" si="48"/>
        <v>8.8165032581309788</v>
      </c>
      <c r="AG171" s="59"/>
    </row>
    <row r="172" spans="2:33" x14ac:dyDescent="0.35">
      <c r="B172">
        <v>556</v>
      </c>
      <c r="C172" s="17">
        <v>7</v>
      </c>
      <c r="D172" s="22" t="s">
        <v>169</v>
      </c>
      <c r="E172" s="90">
        <v>429.57419276527332</v>
      </c>
      <c r="F172" s="90">
        <f>INDEX('Revised 2019 Lockdown'!H$5:H$257,MATCH(B172,'Revised 2019 Lockdown'!B$5:B$257,0))</f>
        <v>429.57419276527332</v>
      </c>
      <c r="G172" s="90">
        <f t="shared" si="41"/>
        <v>0</v>
      </c>
      <c r="H172" s="5">
        <v>251644.37</v>
      </c>
      <c r="I172" s="5">
        <f>INDEX('Revised 2019 Lockdown'!E$5:E$257,MATCH(B172,'Revised 2019 Lockdown'!B$5:B$257,0))</f>
        <v>251644.37</v>
      </c>
      <c r="J172" s="5">
        <f t="shared" si="42"/>
        <v>0</v>
      </c>
      <c r="K172" s="5">
        <v>73939.33</v>
      </c>
      <c r="L172" s="5">
        <f>INDEX('Revised 2019 Lockdown'!F$5:F$257,MATCH(B172,'Revised 2019 Lockdown'!B$5:B$257,0))</f>
        <v>73939.33</v>
      </c>
      <c r="M172" s="5">
        <f t="shared" si="43"/>
        <v>0</v>
      </c>
      <c r="N172" s="5">
        <v>177705.03999999998</v>
      </c>
      <c r="O172" s="60">
        <f>INDEX('Revised 2019 Lockdown'!G$5:G$257,MATCH(B172,'Revised 2019 Lockdown'!B$5:B$257,0))</f>
        <v>177705.03999999998</v>
      </c>
      <c r="P172" s="5">
        <f t="shared" si="44"/>
        <v>0</v>
      </c>
      <c r="Q172" s="58">
        <f t="shared" si="45"/>
        <v>413.67717845448192</v>
      </c>
      <c r="R172" s="6">
        <f t="shared" si="33"/>
        <v>413.67717845448192</v>
      </c>
      <c r="S172" s="5">
        <f t="shared" si="46"/>
        <v>177705.03999999998</v>
      </c>
      <c r="T172" s="82">
        <v>0.84259259259259256</v>
      </c>
      <c r="U172" s="60">
        <f t="shared" si="34"/>
        <v>40982.553243491813</v>
      </c>
      <c r="V172" s="60">
        <f t="shared" si="35"/>
        <v>30706.678534529616</v>
      </c>
      <c r="W172" s="60">
        <f t="shared" si="36"/>
        <v>10359.478736549318</v>
      </c>
      <c r="X172" s="60">
        <f t="shared" si="37"/>
        <v>2151.5389331144283</v>
      </c>
      <c r="Y172" s="60">
        <f t="shared" si="38"/>
        <v>84200.249447685186</v>
      </c>
      <c r="Z172" s="63">
        <f t="shared" si="39"/>
        <v>0.47382026670535171</v>
      </c>
      <c r="AA172" s="59">
        <f t="shared" si="40"/>
        <v>84202.888528779178</v>
      </c>
      <c r="AB172" s="60"/>
      <c r="AC172" s="59">
        <v>84402.542569631201</v>
      </c>
      <c r="AD172" s="106">
        <f t="shared" si="47"/>
        <v>-199.65404085202317</v>
      </c>
      <c r="AE172" s="106">
        <v>-198.80204961112759</v>
      </c>
      <c r="AF172" s="106">
        <f t="shared" si="48"/>
        <v>-0.85199124089558609</v>
      </c>
      <c r="AG172" s="59"/>
    </row>
    <row r="173" spans="2:33" x14ac:dyDescent="0.35">
      <c r="B173">
        <v>558</v>
      </c>
      <c r="C173" s="17">
        <v>7</v>
      </c>
      <c r="D173" s="22" t="s">
        <v>170</v>
      </c>
      <c r="E173" s="90">
        <v>390.35157563140439</v>
      </c>
      <c r="F173" s="90">
        <f>INDEX('Revised 2019 Lockdown'!H$5:H$257,MATCH(B173,'Revised 2019 Lockdown'!B$5:B$257,0))</f>
        <v>390.35157563140439</v>
      </c>
      <c r="G173" s="90">
        <f t="shared" si="41"/>
        <v>0</v>
      </c>
      <c r="H173" s="5">
        <v>237481.28</v>
      </c>
      <c r="I173" s="5">
        <f>INDEX('Revised 2019 Lockdown'!E$5:E$257,MATCH(B173,'Revised 2019 Lockdown'!B$5:B$257,0))</f>
        <v>237481.28</v>
      </c>
      <c r="J173" s="5">
        <f t="shared" si="42"/>
        <v>0</v>
      </c>
      <c r="K173" s="5">
        <v>9049.75</v>
      </c>
      <c r="L173" s="5">
        <f>INDEX('Revised 2019 Lockdown'!F$5:F$257,MATCH(B173,'Revised 2019 Lockdown'!B$5:B$257,0))</f>
        <v>9049.75</v>
      </c>
      <c r="M173" s="5">
        <f t="shared" si="43"/>
        <v>0</v>
      </c>
      <c r="N173" s="5">
        <v>228431.53</v>
      </c>
      <c r="O173" s="60">
        <f>INDEX('Revised 2019 Lockdown'!G$5:G$257,MATCH(B173,'Revised 2019 Lockdown'!B$5:B$257,0))</f>
        <v>228431.53</v>
      </c>
      <c r="P173" s="5">
        <f t="shared" si="44"/>
        <v>0</v>
      </c>
      <c r="Q173" s="58">
        <f t="shared" si="45"/>
        <v>585.19433316108882</v>
      </c>
      <c r="R173" s="6">
        <f t="shared" si="33"/>
        <v>585.19433316108882</v>
      </c>
      <c r="S173" s="5">
        <f t="shared" si="46"/>
        <v>228431.53000000003</v>
      </c>
      <c r="T173" s="82">
        <v>0.34722222222222221</v>
      </c>
      <c r="U173" s="60">
        <f t="shared" si="34"/>
        <v>52681.158287448117</v>
      </c>
      <c r="V173" s="60">
        <f t="shared" si="35"/>
        <v>27902.980556632814</v>
      </c>
      <c r="W173" s="60">
        <f t="shared" si="36"/>
        <v>5487.6206549425124</v>
      </c>
      <c r="X173" s="60">
        <f t="shared" si="37"/>
        <v>2765.7028205046781</v>
      </c>
      <c r="Y173" s="60">
        <f t="shared" si="38"/>
        <v>88837.462319528131</v>
      </c>
      <c r="Z173" s="63">
        <f t="shared" si="39"/>
        <v>0.38890192750330099</v>
      </c>
      <c r="AA173" s="59">
        <f t="shared" si="40"/>
        <v>88840.246744381788</v>
      </c>
      <c r="AB173" s="60"/>
      <c r="AC173" s="59">
        <v>89058.76498328663</v>
      </c>
      <c r="AD173" s="106">
        <f t="shared" si="47"/>
        <v>-218.51823890484229</v>
      </c>
      <c r="AE173" s="106">
        <v>-217.53364001972659</v>
      </c>
      <c r="AF173" s="106">
        <f t="shared" si="48"/>
        <v>-0.98459888511570171</v>
      </c>
      <c r="AG173" s="59"/>
    </row>
    <row r="174" spans="2:33" x14ac:dyDescent="0.35">
      <c r="B174">
        <v>600</v>
      </c>
      <c r="C174" s="17">
        <v>7</v>
      </c>
      <c r="D174" s="22" t="s">
        <v>171</v>
      </c>
      <c r="E174" s="90">
        <v>754.93</v>
      </c>
      <c r="F174" s="90">
        <f>INDEX('Revised 2019 Lockdown'!H$5:H$257,MATCH(B174,'Revised 2019 Lockdown'!B$5:B$257,0))</f>
        <v>754.93</v>
      </c>
      <c r="G174" s="90">
        <f t="shared" si="41"/>
        <v>0</v>
      </c>
      <c r="H174" s="5">
        <v>289349.82</v>
      </c>
      <c r="I174" s="5">
        <f>INDEX('Revised 2019 Lockdown'!E$5:E$257,MATCH(B174,'Revised 2019 Lockdown'!B$5:B$257,0))</f>
        <v>289349.82</v>
      </c>
      <c r="J174" s="5">
        <f t="shared" si="42"/>
        <v>0</v>
      </c>
      <c r="K174" s="5">
        <v>0</v>
      </c>
      <c r="L174" s="5">
        <f>INDEX('Revised 2019 Lockdown'!F$5:F$257,MATCH(B174,'Revised 2019 Lockdown'!B$5:B$257,0))</f>
        <v>0</v>
      </c>
      <c r="M174" s="5">
        <f t="shared" si="43"/>
        <v>0</v>
      </c>
      <c r="N174" s="5">
        <v>289349.82</v>
      </c>
      <c r="O174" s="60">
        <f>INDEX('Revised 2019 Lockdown'!G$5:G$257,MATCH(B174,'Revised 2019 Lockdown'!B$5:B$257,0))</f>
        <v>289349.82</v>
      </c>
      <c r="P174" s="5">
        <f t="shared" si="44"/>
        <v>0</v>
      </c>
      <c r="Q174" s="58">
        <f t="shared" si="45"/>
        <v>383.28033062668067</v>
      </c>
      <c r="R174" s="6">
        <f t="shared" si="33"/>
        <v>383.28033062668067</v>
      </c>
      <c r="S174" s="5">
        <f t="shared" si="46"/>
        <v>289349.82</v>
      </c>
      <c r="T174" s="82">
        <v>0.9004629629629628</v>
      </c>
      <c r="U174" s="60">
        <f t="shared" si="34"/>
        <v>66730.208688199127</v>
      </c>
      <c r="V174" s="60">
        <f t="shared" si="35"/>
        <v>53963.653349024964</v>
      </c>
      <c r="W174" s="60">
        <f t="shared" si="36"/>
        <v>18026.424430353789</v>
      </c>
      <c r="X174" s="60">
        <f t="shared" si="37"/>
        <v>3503.2625018381696</v>
      </c>
      <c r="Y174" s="60">
        <f t="shared" si="38"/>
        <v>142223.54896941606</v>
      </c>
      <c r="Z174" s="63">
        <f t="shared" si="39"/>
        <v>0.49152803678749846</v>
      </c>
      <c r="AA174" s="59">
        <f t="shared" si="40"/>
        <v>142228.00666973961</v>
      </c>
      <c r="AB174" s="60"/>
      <c r="AC174" s="59">
        <v>142561.64510315808</v>
      </c>
      <c r="AD174" s="106">
        <f t="shared" si="47"/>
        <v>-333.6384334184695</v>
      </c>
      <c r="AE174" s="106">
        <v>-332.23282570997253</v>
      </c>
      <c r="AF174" s="106">
        <f t="shared" si="48"/>
        <v>-1.4056077084969729</v>
      </c>
      <c r="AG174" s="59"/>
    </row>
    <row r="175" spans="2:33" x14ac:dyDescent="0.35">
      <c r="B175">
        <v>604</v>
      </c>
      <c r="C175" s="17">
        <v>7</v>
      </c>
      <c r="D175" s="22" t="s">
        <v>172</v>
      </c>
      <c r="E175" s="90">
        <v>515.30042961563572</v>
      </c>
      <c r="F175" s="90">
        <f>INDEX('Revised 2019 Lockdown'!H$5:H$257,MATCH(B175,'Revised 2019 Lockdown'!B$5:B$257,0))</f>
        <v>515.30042961563572</v>
      </c>
      <c r="G175" s="90">
        <f t="shared" si="41"/>
        <v>0</v>
      </c>
      <c r="H175" s="5">
        <v>227300.68</v>
      </c>
      <c r="I175" s="5">
        <f>INDEX('Revised 2019 Lockdown'!E$5:E$257,MATCH(B175,'Revised 2019 Lockdown'!B$5:B$257,0))</f>
        <v>227300.68</v>
      </c>
      <c r="J175" s="5">
        <f t="shared" si="42"/>
        <v>0</v>
      </c>
      <c r="K175" s="5">
        <v>4684.6499999999996</v>
      </c>
      <c r="L175" s="5">
        <f>INDEX('Revised 2019 Lockdown'!F$5:F$257,MATCH(B175,'Revised 2019 Lockdown'!B$5:B$257,0))</f>
        <v>4684.6499999999996</v>
      </c>
      <c r="M175" s="5">
        <f t="shared" si="43"/>
        <v>0</v>
      </c>
      <c r="N175" s="5">
        <v>222616.03</v>
      </c>
      <c r="O175" s="60">
        <f>INDEX('Revised 2019 Lockdown'!G$5:G$257,MATCH(B175,'Revised 2019 Lockdown'!B$5:B$257,0))</f>
        <v>222616.03</v>
      </c>
      <c r="P175" s="5">
        <f t="shared" si="44"/>
        <v>0</v>
      </c>
      <c r="Q175" s="58">
        <f t="shared" si="45"/>
        <v>432.01211799114941</v>
      </c>
      <c r="R175" s="6">
        <f t="shared" si="33"/>
        <v>432.01211799114941</v>
      </c>
      <c r="S175" s="5">
        <f t="shared" si="46"/>
        <v>222616.03</v>
      </c>
      <c r="T175" s="82">
        <v>0.55092592592592593</v>
      </c>
      <c r="U175" s="60">
        <f t="shared" si="34"/>
        <v>51339.980578658724</v>
      </c>
      <c r="V175" s="60">
        <f t="shared" si="35"/>
        <v>36834.532677707612</v>
      </c>
      <c r="W175" s="60">
        <f t="shared" si="36"/>
        <v>8485.3579011949823</v>
      </c>
      <c r="X175" s="60">
        <f t="shared" si="37"/>
        <v>2695.292467114999</v>
      </c>
      <c r="Y175" s="60">
        <f t="shared" si="38"/>
        <v>99355.163624676308</v>
      </c>
      <c r="Z175" s="63">
        <f t="shared" si="39"/>
        <v>0.44630731948941998</v>
      </c>
      <c r="AA175" s="59">
        <f t="shared" si="40"/>
        <v>99358.277704927052</v>
      </c>
      <c r="AB175" s="60"/>
      <c r="AC175" s="59">
        <v>99592.972355681777</v>
      </c>
      <c r="AD175" s="106">
        <f t="shared" si="47"/>
        <v>-234.69465075472544</v>
      </c>
      <c r="AE175" s="106">
        <v>-233.68078936592792</v>
      </c>
      <c r="AF175" s="106">
        <f t="shared" si="48"/>
        <v>-1.0138613887975225</v>
      </c>
      <c r="AG175" s="59"/>
    </row>
    <row r="176" spans="2:33" x14ac:dyDescent="0.35">
      <c r="B176">
        <v>612</v>
      </c>
      <c r="C176" s="17">
        <v>7</v>
      </c>
      <c r="D176" s="22" t="s">
        <v>173</v>
      </c>
      <c r="E176" s="90">
        <v>465.4674142756993</v>
      </c>
      <c r="F176" s="90">
        <f>INDEX('Revised 2019 Lockdown'!H$5:H$257,MATCH(B176,'Revised 2019 Lockdown'!B$5:B$257,0))</f>
        <v>465.4674142756993</v>
      </c>
      <c r="G176" s="90">
        <f t="shared" si="41"/>
        <v>0</v>
      </c>
      <c r="H176" s="5">
        <v>309970.14</v>
      </c>
      <c r="I176" s="5">
        <f>INDEX('Revised 2019 Lockdown'!E$5:E$257,MATCH(B176,'Revised 2019 Lockdown'!B$5:B$257,0))</f>
        <v>309970.14</v>
      </c>
      <c r="J176" s="5">
        <f t="shared" si="42"/>
        <v>0</v>
      </c>
      <c r="K176" s="5">
        <v>6701.21</v>
      </c>
      <c r="L176" s="5">
        <f>INDEX('Revised 2019 Lockdown'!F$5:F$257,MATCH(B176,'Revised 2019 Lockdown'!B$5:B$257,0))</f>
        <v>6701.21</v>
      </c>
      <c r="M176" s="5">
        <f t="shared" si="43"/>
        <v>0</v>
      </c>
      <c r="N176" s="5">
        <v>303268.93</v>
      </c>
      <c r="O176" s="60">
        <f>INDEX('Revised 2019 Lockdown'!G$5:G$257,MATCH(B176,'Revised 2019 Lockdown'!B$5:B$257,0))</f>
        <v>303268.93</v>
      </c>
      <c r="P176" s="5">
        <f t="shared" si="44"/>
        <v>0</v>
      </c>
      <c r="Q176" s="58">
        <f t="shared" si="45"/>
        <v>651.53632821302483</v>
      </c>
      <c r="R176" s="6">
        <f t="shared" si="33"/>
        <v>651.53632821302483</v>
      </c>
      <c r="S176" s="5">
        <f t="shared" si="46"/>
        <v>303268.93</v>
      </c>
      <c r="T176" s="82">
        <v>0.79166666666666674</v>
      </c>
      <c r="U176" s="60">
        <f t="shared" si="34"/>
        <v>69940.250826998454</v>
      </c>
      <c r="V176" s="60">
        <f t="shared" si="35"/>
        <v>33272.385769860564</v>
      </c>
      <c r="W176" s="60">
        <f t="shared" si="36"/>
        <v>16610.809571412134</v>
      </c>
      <c r="X176" s="60">
        <f t="shared" si="37"/>
        <v>3671.7861806224196</v>
      </c>
      <c r="Y176" s="60">
        <f t="shared" si="38"/>
        <v>123495.23234889358</v>
      </c>
      <c r="Z176" s="63">
        <f t="shared" si="39"/>
        <v>0.40721359866602092</v>
      </c>
      <c r="AA176" s="59">
        <f t="shared" si="40"/>
        <v>123499.10304921844</v>
      </c>
      <c r="AB176" s="60"/>
      <c r="AC176" s="59">
        <v>123811.97425834088</v>
      </c>
      <c r="AD176" s="106">
        <f t="shared" si="47"/>
        <v>-312.87120912244427</v>
      </c>
      <c r="AE176" s="106">
        <v>-311.41805601284432</v>
      </c>
      <c r="AF176" s="106">
        <f t="shared" si="48"/>
        <v>-1.4531531095999526</v>
      </c>
      <c r="AG176" s="59"/>
    </row>
    <row r="177" spans="2:33" x14ac:dyDescent="0.35">
      <c r="B177">
        <v>635</v>
      </c>
      <c r="C177" s="17">
        <v>7</v>
      </c>
      <c r="D177" s="22" t="s">
        <v>174</v>
      </c>
      <c r="E177" s="90">
        <v>58.100000000000016</v>
      </c>
      <c r="F177" s="90">
        <f>INDEX('Revised 2019 Lockdown'!H$5:H$257,MATCH(B177,'Revised 2019 Lockdown'!B$5:B$257,0))</f>
        <v>58.100000000000016</v>
      </c>
      <c r="G177" s="90">
        <f t="shared" si="41"/>
        <v>0</v>
      </c>
      <c r="H177" s="5">
        <v>38338.959999999999</v>
      </c>
      <c r="I177" s="5">
        <f>INDEX('Revised 2019 Lockdown'!E$5:E$257,MATCH(B177,'Revised 2019 Lockdown'!B$5:B$257,0))</f>
        <v>38338.959999999999</v>
      </c>
      <c r="J177" s="5">
        <f t="shared" si="42"/>
        <v>0</v>
      </c>
      <c r="K177" s="5">
        <v>0</v>
      </c>
      <c r="L177" s="5">
        <f>INDEX('Revised 2019 Lockdown'!F$5:F$257,MATCH(B177,'Revised 2019 Lockdown'!B$5:B$257,0))</f>
        <v>0</v>
      </c>
      <c r="M177" s="5">
        <f t="shared" si="43"/>
        <v>0</v>
      </c>
      <c r="N177" s="5">
        <v>38338.959999999999</v>
      </c>
      <c r="O177" s="60">
        <f>INDEX('Revised 2019 Lockdown'!G$5:G$257,MATCH(B177,'Revised 2019 Lockdown'!B$5:B$257,0))</f>
        <v>38338.959999999999</v>
      </c>
      <c r="P177" s="5">
        <f t="shared" si="44"/>
        <v>0</v>
      </c>
      <c r="Q177" s="58">
        <f t="shared" si="45"/>
        <v>659.8788296041306</v>
      </c>
      <c r="R177" s="6">
        <f t="shared" si="33"/>
        <v>659.8788296041306</v>
      </c>
      <c r="S177" s="5">
        <f t="shared" si="46"/>
        <v>38338.959999999999</v>
      </c>
      <c r="T177" s="82">
        <v>0.4143518518518518</v>
      </c>
      <c r="U177" s="60">
        <f t="shared" si="34"/>
        <v>8841.7777543062548</v>
      </c>
      <c r="V177" s="60">
        <f t="shared" si="35"/>
        <v>4153.0847357746434</v>
      </c>
      <c r="W177" s="60">
        <f t="shared" si="36"/>
        <v>1099.0820958477912</v>
      </c>
      <c r="X177" s="60">
        <f t="shared" si="37"/>
        <v>464.18359937971798</v>
      </c>
      <c r="Y177" s="60">
        <f t="shared" si="38"/>
        <v>14558.128185308406</v>
      </c>
      <c r="Z177" s="63">
        <f t="shared" si="39"/>
        <v>0.37972152049268959</v>
      </c>
      <c r="AA177" s="59">
        <f t="shared" si="40"/>
        <v>14558.58447945373</v>
      </c>
      <c r="AB177" s="60"/>
      <c r="AC177" s="59">
        <v>14595.103217030333</v>
      </c>
      <c r="AD177" s="106">
        <f t="shared" si="47"/>
        <v>-36.518737576603598</v>
      </c>
      <c r="AE177" s="106">
        <v>-36.352917699241516</v>
      </c>
      <c r="AF177" s="106">
        <f t="shared" si="48"/>
        <v>-0.16581987736208248</v>
      </c>
      <c r="AG177" s="59"/>
    </row>
    <row r="178" spans="2:33" x14ac:dyDescent="0.35">
      <c r="B178">
        <v>642</v>
      </c>
      <c r="C178" s="17">
        <v>7</v>
      </c>
      <c r="D178" s="22" t="s">
        <v>175</v>
      </c>
      <c r="E178" s="90">
        <v>131.41386363582231</v>
      </c>
      <c r="F178" s="90">
        <f>INDEX('Revised 2019 Lockdown'!H$5:H$257,MATCH(B178,'Revised 2019 Lockdown'!B$5:B$257,0))</f>
        <v>131.41386363582231</v>
      </c>
      <c r="G178" s="90">
        <f t="shared" si="41"/>
        <v>0</v>
      </c>
      <c r="H178" s="5">
        <v>57394.98</v>
      </c>
      <c r="I178" s="5">
        <f>INDEX('Revised 2019 Lockdown'!E$5:E$257,MATCH(B178,'Revised 2019 Lockdown'!B$5:B$257,0))</f>
        <v>68196.52</v>
      </c>
      <c r="J178" s="5">
        <f t="shared" si="42"/>
        <v>10801.54</v>
      </c>
      <c r="K178" s="5">
        <v>0</v>
      </c>
      <c r="L178" s="5">
        <f>INDEX('Revised 2019 Lockdown'!F$5:F$257,MATCH(B178,'Revised 2019 Lockdown'!B$5:B$257,0))</f>
        <v>0</v>
      </c>
      <c r="M178" s="5">
        <f t="shared" si="43"/>
        <v>0</v>
      </c>
      <c r="N178" s="5">
        <v>57394.98</v>
      </c>
      <c r="O178" s="60">
        <f>INDEX('Revised 2019 Lockdown'!G$5:G$257,MATCH(B178,'Revised 2019 Lockdown'!B$5:B$257,0))</f>
        <v>68196.52</v>
      </c>
      <c r="P178" s="5">
        <f t="shared" si="44"/>
        <v>10801.54</v>
      </c>
      <c r="Q178" s="58">
        <f t="shared" si="45"/>
        <v>518.94463881670856</v>
      </c>
      <c r="R178" s="6">
        <f t="shared" si="33"/>
        <v>518.94463881670856</v>
      </c>
      <c r="S178" s="5">
        <f t="shared" si="46"/>
        <v>68196.52</v>
      </c>
      <c r="T178" s="82">
        <v>0.31944444444444442</v>
      </c>
      <c r="U178" s="60">
        <f t="shared" si="34"/>
        <v>15727.564687646758</v>
      </c>
      <c r="V178" s="60">
        <f t="shared" si="35"/>
        <v>9393.6817751308772</v>
      </c>
      <c r="W178" s="60">
        <f t="shared" si="36"/>
        <v>1507.2249492328142</v>
      </c>
      <c r="X178" s="60">
        <f t="shared" si="37"/>
        <v>825.67983374538392</v>
      </c>
      <c r="Y178" s="60">
        <f t="shared" si="38"/>
        <v>27454.151245755835</v>
      </c>
      <c r="Z178" s="63">
        <f t="shared" si="39"/>
        <v>0.40257407923096122</v>
      </c>
      <c r="AA178" s="59">
        <f t="shared" si="40"/>
        <v>27455.011738830137</v>
      </c>
      <c r="AB178" s="60"/>
      <c r="AC178" s="59">
        <v>24652.005146395335</v>
      </c>
      <c r="AD178" s="106">
        <f t="shared" si="47"/>
        <v>2803.0065924348019</v>
      </c>
      <c r="AE178" s="106">
        <v>2803.2944451695439</v>
      </c>
      <c r="AF178" s="106">
        <f t="shared" si="48"/>
        <v>-0.28785273474204587</v>
      </c>
      <c r="AG178" s="59"/>
    </row>
    <row r="179" spans="2:33" x14ac:dyDescent="0.35">
      <c r="B179">
        <v>643</v>
      </c>
      <c r="C179" s="17">
        <v>7</v>
      </c>
      <c r="D179" s="22" t="s">
        <v>176</v>
      </c>
      <c r="E179" s="90">
        <v>8.1079758961533877</v>
      </c>
      <c r="F179" s="90">
        <f>INDEX('Revised 2019 Lockdown'!H$5:H$257,MATCH(B179,'Revised 2019 Lockdown'!B$5:B$257,0))</f>
        <v>8.1079758961533877</v>
      </c>
      <c r="G179" s="90">
        <f t="shared" si="41"/>
        <v>0</v>
      </c>
      <c r="H179" s="5">
        <v>25324.71</v>
      </c>
      <c r="I179" s="5">
        <f>INDEX('Revised 2019 Lockdown'!E$5:E$257,MATCH(B179,'Revised 2019 Lockdown'!B$5:B$257,0))</f>
        <v>25324.71</v>
      </c>
      <c r="J179" s="5">
        <f t="shared" si="42"/>
        <v>0</v>
      </c>
      <c r="K179" s="5">
        <v>0</v>
      </c>
      <c r="L179" s="5">
        <f>INDEX('Revised 2019 Lockdown'!F$5:F$257,MATCH(B179,'Revised 2019 Lockdown'!B$5:B$257,0))</f>
        <v>0</v>
      </c>
      <c r="M179" s="5">
        <f t="shared" si="43"/>
        <v>0</v>
      </c>
      <c r="N179" s="5">
        <v>25324.71</v>
      </c>
      <c r="O179" s="60">
        <f>INDEX('Revised 2019 Lockdown'!G$5:G$257,MATCH(B179,'Revised 2019 Lockdown'!B$5:B$257,0))</f>
        <v>25324.71</v>
      </c>
      <c r="P179" s="5">
        <f t="shared" si="44"/>
        <v>0</v>
      </c>
      <c r="Q179" s="58">
        <f t="shared" si="45"/>
        <v>3123.4318311200986</v>
      </c>
      <c r="R179" s="6">
        <f t="shared" si="33"/>
        <v>782.61515726829293</v>
      </c>
      <c r="S179" s="5">
        <f t="shared" si="46"/>
        <v>6345.4248310956118</v>
      </c>
      <c r="T179" s="82">
        <v>0.61342592592592582</v>
      </c>
      <c r="U179" s="60">
        <f t="shared" si="34"/>
        <v>1463.3896201984535</v>
      </c>
      <c r="V179" s="60">
        <f t="shared" si="35"/>
        <v>579.57161673568612</v>
      </c>
      <c r="W179" s="60">
        <f t="shared" si="36"/>
        <v>269.30433982818755</v>
      </c>
      <c r="X179" s="60">
        <f t="shared" si="37"/>
        <v>76.826344212033916</v>
      </c>
      <c r="Y179" s="60">
        <f t="shared" si="38"/>
        <v>2389.0919209743611</v>
      </c>
      <c r="Z179" s="63">
        <f t="shared" si="39"/>
        <v>0.37650622055542599</v>
      </c>
      <c r="AA179" s="59">
        <f t="shared" si="40"/>
        <v>2389.166802074617</v>
      </c>
      <c r="AB179" s="60"/>
      <c r="AC179" s="59">
        <v>2415.2322788105066</v>
      </c>
      <c r="AD179" s="106">
        <f t="shared" si="47"/>
        <v>-26.065476735889661</v>
      </c>
      <c r="AE179" s="106">
        <v>-26.203291239443388</v>
      </c>
      <c r="AF179" s="106">
        <f t="shared" si="48"/>
        <v>0.13781450355372726</v>
      </c>
      <c r="AG179" s="59"/>
    </row>
    <row r="180" spans="2:33" x14ac:dyDescent="0.35">
      <c r="B180">
        <v>711</v>
      </c>
      <c r="C180" s="17">
        <v>7</v>
      </c>
      <c r="D180" s="22" t="s">
        <v>177</v>
      </c>
      <c r="E180" s="90">
        <v>456.7</v>
      </c>
      <c r="F180" s="90">
        <f>INDEX('Revised 2019 Lockdown'!H$5:H$257,MATCH(B180,'Revised 2019 Lockdown'!B$5:B$257,0))</f>
        <v>456.7</v>
      </c>
      <c r="G180" s="90">
        <f t="shared" si="41"/>
        <v>0</v>
      </c>
      <c r="H180" s="5">
        <v>239906.51</v>
      </c>
      <c r="I180" s="5">
        <f>INDEX('Revised 2019 Lockdown'!E$5:E$257,MATCH(B180,'Revised 2019 Lockdown'!B$5:B$257,0))</f>
        <v>239906.51</v>
      </c>
      <c r="J180" s="5">
        <f t="shared" si="42"/>
        <v>0</v>
      </c>
      <c r="K180" s="5">
        <v>6079.57</v>
      </c>
      <c r="L180" s="5">
        <f>INDEX('Revised 2019 Lockdown'!F$5:F$257,MATCH(B180,'Revised 2019 Lockdown'!B$5:B$257,0))</f>
        <v>6079.57</v>
      </c>
      <c r="M180" s="5">
        <f t="shared" si="43"/>
        <v>0</v>
      </c>
      <c r="N180" s="5">
        <v>233826.94</v>
      </c>
      <c r="O180" s="60">
        <f>INDEX('Revised 2019 Lockdown'!G$5:G$257,MATCH(B180,'Revised 2019 Lockdown'!B$5:B$257,0))</f>
        <v>233826.94</v>
      </c>
      <c r="P180" s="5">
        <f t="shared" si="44"/>
        <v>0</v>
      </c>
      <c r="Q180" s="58">
        <f t="shared" si="45"/>
        <v>511.99242391066349</v>
      </c>
      <c r="R180" s="6">
        <f t="shared" si="33"/>
        <v>511.99242391066349</v>
      </c>
      <c r="S180" s="5">
        <f t="shared" si="46"/>
        <v>233826.94</v>
      </c>
      <c r="T180" s="82">
        <v>0.75462962962962965</v>
      </c>
      <c r="U180" s="60">
        <f t="shared" si="34"/>
        <v>53925.454327647465</v>
      </c>
      <c r="V180" s="60">
        <f t="shared" si="35"/>
        <v>32645.676399798267</v>
      </c>
      <c r="W180" s="60">
        <f t="shared" si="36"/>
        <v>12208.123688064634</v>
      </c>
      <c r="X180" s="60">
        <f t="shared" si="37"/>
        <v>2831.0269929373499</v>
      </c>
      <c r="Y180" s="60">
        <f t="shared" si="38"/>
        <v>101610.28140844771</v>
      </c>
      <c r="Z180" s="63">
        <f t="shared" si="39"/>
        <v>0.43455335560756048</v>
      </c>
      <c r="AA180" s="59">
        <f t="shared" si="40"/>
        <v>101613.46617065898</v>
      </c>
      <c r="AB180" s="60"/>
      <c r="AC180" s="59">
        <v>101861.94467489838</v>
      </c>
      <c r="AD180" s="106">
        <f t="shared" si="47"/>
        <v>-248.47850423939235</v>
      </c>
      <c r="AE180" s="106">
        <v>-247.37996493116952</v>
      </c>
      <c r="AF180" s="106">
        <f t="shared" si="48"/>
        <v>-1.0985393082228256</v>
      </c>
      <c r="AG180" s="59"/>
    </row>
    <row r="181" spans="2:33" x14ac:dyDescent="0.35">
      <c r="B181">
        <v>712</v>
      </c>
      <c r="C181" s="17">
        <v>7</v>
      </c>
      <c r="D181" s="22" t="s">
        <v>178</v>
      </c>
      <c r="E181" s="90">
        <v>732.75000000000011</v>
      </c>
      <c r="F181" s="90">
        <f>INDEX('Revised 2019 Lockdown'!H$5:H$257,MATCH(B181,'Revised 2019 Lockdown'!B$5:B$257,0))</f>
        <v>732.75000000000011</v>
      </c>
      <c r="G181" s="90">
        <f t="shared" si="41"/>
        <v>0</v>
      </c>
      <c r="H181" s="5">
        <v>294954.17</v>
      </c>
      <c r="I181" s="5">
        <f>INDEX('Revised 2019 Lockdown'!E$5:E$257,MATCH(B181,'Revised 2019 Lockdown'!B$5:B$257,0))</f>
        <v>294954.17</v>
      </c>
      <c r="J181" s="5">
        <f t="shared" si="42"/>
        <v>0</v>
      </c>
      <c r="K181" s="5">
        <v>0</v>
      </c>
      <c r="L181" s="5">
        <f>INDEX('Revised 2019 Lockdown'!F$5:F$257,MATCH(B181,'Revised 2019 Lockdown'!B$5:B$257,0))</f>
        <v>0</v>
      </c>
      <c r="M181" s="5">
        <f t="shared" si="43"/>
        <v>0</v>
      </c>
      <c r="N181" s="5">
        <v>294954.17</v>
      </c>
      <c r="O181" s="60">
        <f>INDEX('Revised 2019 Lockdown'!G$5:G$257,MATCH(B181,'Revised 2019 Lockdown'!B$5:B$257,0))</f>
        <v>294954.17</v>
      </c>
      <c r="P181" s="5">
        <f t="shared" si="44"/>
        <v>0</v>
      </c>
      <c r="Q181" s="58">
        <f t="shared" si="45"/>
        <v>402.53042647560551</v>
      </c>
      <c r="R181" s="6">
        <f t="shared" si="33"/>
        <v>402.53042647560551</v>
      </c>
      <c r="S181" s="5">
        <f t="shared" si="46"/>
        <v>294954.17</v>
      </c>
      <c r="T181" s="82">
        <v>0.84027777777777768</v>
      </c>
      <c r="U181" s="60">
        <f t="shared" si="34"/>
        <v>68022.690726244662</v>
      </c>
      <c r="V181" s="60">
        <f t="shared" si="35"/>
        <v>52378.190019601891</v>
      </c>
      <c r="W181" s="60">
        <f t="shared" si="36"/>
        <v>17147.386620574172</v>
      </c>
      <c r="X181" s="60">
        <f t="shared" si="37"/>
        <v>3571.1163861162954</v>
      </c>
      <c r="Y181" s="60">
        <f t="shared" si="38"/>
        <v>141119.38375253702</v>
      </c>
      <c r="Z181" s="63">
        <f t="shared" si="39"/>
        <v>0.47844512166936654</v>
      </c>
      <c r="AA181" s="59">
        <f t="shared" si="40"/>
        <v>141123.80684510621</v>
      </c>
      <c r="AB181" s="60"/>
      <c r="AC181" s="59">
        <v>141456.8733272932</v>
      </c>
      <c r="AD181" s="106">
        <f t="shared" si="47"/>
        <v>-333.06648218698683</v>
      </c>
      <c r="AE181" s="106">
        <v>-331.6531041104754</v>
      </c>
      <c r="AF181" s="106">
        <f t="shared" si="48"/>
        <v>-1.4133780765114352</v>
      </c>
      <c r="AG181" s="59"/>
    </row>
    <row r="182" spans="2:33" x14ac:dyDescent="0.35">
      <c r="B182">
        <v>718</v>
      </c>
      <c r="C182" s="17">
        <v>7</v>
      </c>
      <c r="D182" s="22" t="s">
        <v>179</v>
      </c>
      <c r="E182" s="90">
        <v>33.193832100901929</v>
      </c>
      <c r="F182" s="90">
        <f>INDEX('Revised 2019 Lockdown'!H$5:H$257,MATCH(B182,'Revised 2019 Lockdown'!B$5:B$257,0))</f>
        <v>33.193832100901929</v>
      </c>
      <c r="G182" s="90">
        <f t="shared" si="41"/>
        <v>0</v>
      </c>
      <c r="H182" s="5">
        <v>24351.48</v>
      </c>
      <c r="I182" s="5">
        <f>INDEX('Revised 2019 Lockdown'!E$5:E$257,MATCH(B182,'Revised 2019 Lockdown'!B$5:B$257,0))</f>
        <v>24351.48</v>
      </c>
      <c r="J182" s="5">
        <f t="shared" si="42"/>
        <v>0</v>
      </c>
      <c r="K182" s="5">
        <v>0</v>
      </c>
      <c r="L182" s="5">
        <f>INDEX('Revised 2019 Lockdown'!F$5:F$257,MATCH(B182,'Revised 2019 Lockdown'!B$5:B$257,0))</f>
        <v>0</v>
      </c>
      <c r="M182" s="5">
        <f t="shared" si="43"/>
        <v>0</v>
      </c>
      <c r="N182" s="5">
        <v>24351.48</v>
      </c>
      <c r="O182" s="60">
        <f>INDEX('Revised 2019 Lockdown'!G$5:G$257,MATCH(B182,'Revised 2019 Lockdown'!B$5:B$257,0))</f>
        <v>24351.48</v>
      </c>
      <c r="P182" s="5">
        <f t="shared" si="44"/>
        <v>0</v>
      </c>
      <c r="Q182" s="58">
        <f t="shared" si="45"/>
        <v>733.61460424264578</v>
      </c>
      <c r="R182" s="6">
        <f t="shared" si="33"/>
        <v>733.61460424264578</v>
      </c>
      <c r="S182" s="5">
        <f t="shared" si="46"/>
        <v>24351.48</v>
      </c>
      <c r="T182" s="82">
        <v>0.20833333333333331</v>
      </c>
      <c r="U182" s="60">
        <f t="shared" si="34"/>
        <v>5615.9680426499217</v>
      </c>
      <c r="V182" s="60">
        <f t="shared" si="35"/>
        <v>2372.7503858885048</v>
      </c>
      <c r="W182" s="60">
        <f t="shared" si="36"/>
        <v>350.99800266562005</v>
      </c>
      <c r="X182" s="60">
        <f t="shared" si="37"/>
        <v>294.83214037687026</v>
      </c>
      <c r="Y182" s="60">
        <f t="shared" si="38"/>
        <v>8634.5485715809154</v>
      </c>
      <c r="Z182" s="63">
        <f t="shared" si="39"/>
        <v>0.35458003257218518</v>
      </c>
      <c r="AA182" s="59">
        <f t="shared" si="40"/>
        <v>8634.8192034856893</v>
      </c>
      <c r="AB182" s="60"/>
      <c r="AC182" s="59">
        <v>8656.6439234053269</v>
      </c>
      <c r="AD182" s="106">
        <f t="shared" si="47"/>
        <v>-21.824719919637573</v>
      </c>
      <c r="AE182" s="106">
        <v>-21.723754677876059</v>
      </c>
      <c r="AF182" s="106">
        <f t="shared" si="48"/>
        <v>-0.10096524176151433</v>
      </c>
      <c r="AG182" s="59"/>
    </row>
    <row r="183" spans="2:33" x14ac:dyDescent="0.35">
      <c r="B183">
        <v>736</v>
      </c>
      <c r="C183" s="17">
        <v>7</v>
      </c>
      <c r="D183" s="22" t="s">
        <v>180</v>
      </c>
      <c r="E183" s="90">
        <v>122.59818725735381</v>
      </c>
      <c r="F183" s="90">
        <f>INDEX('Revised 2019 Lockdown'!H$5:H$257,MATCH(B183,'Revised 2019 Lockdown'!B$5:B$257,0))</f>
        <v>122.59818725735381</v>
      </c>
      <c r="G183" s="90">
        <f t="shared" si="41"/>
        <v>0</v>
      </c>
      <c r="H183" s="5">
        <v>112946.17</v>
      </c>
      <c r="I183" s="5">
        <f>INDEX('Revised 2019 Lockdown'!E$5:E$257,MATCH(B183,'Revised 2019 Lockdown'!B$5:B$257,0))</f>
        <v>112946.17</v>
      </c>
      <c r="J183" s="5">
        <f t="shared" si="42"/>
        <v>0</v>
      </c>
      <c r="K183" s="5">
        <v>198</v>
      </c>
      <c r="L183" s="5">
        <f>INDEX('Revised 2019 Lockdown'!F$5:F$257,MATCH(B183,'Revised 2019 Lockdown'!B$5:B$257,0))</f>
        <v>198</v>
      </c>
      <c r="M183" s="5">
        <f t="shared" si="43"/>
        <v>0</v>
      </c>
      <c r="N183" s="5">
        <v>112748.17</v>
      </c>
      <c r="O183" s="60">
        <f>INDEX('Revised 2019 Lockdown'!G$5:G$257,MATCH(B183,'Revised 2019 Lockdown'!B$5:B$257,0))</f>
        <v>112748.17</v>
      </c>
      <c r="P183" s="5">
        <f t="shared" si="44"/>
        <v>0</v>
      </c>
      <c r="Q183" s="58">
        <f t="shared" si="45"/>
        <v>919.65609379951923</v>
      </c>
      <c r="R183" s="6">
        <f t="shared" si="33"/>
        <v>782.61515726829293</v>
      </c>
      <c r="S183" s="5">
        <f t="shared" si="46"/>
        <v>95947.199601221582</v>
      </c>
      <c r="T183" s="82">
        <v>0.17592592592592593</v>
      </c>
      <c r="U183" s="60">
        <f t="shared" si="34"/>
        <v>22127.460291621443</v>
      </c>
      <c r="V183" s="60">
        <f t="shared" si="35"/>
        <v>8763.5225496068397</v>
      </c>
      <c r="W183" s="60">
        <f t="shared" si="36"/>
        <v>1167.8381820577983</v>
      </c>
      <c r="X183" s="60">
        <f t="shared" si="37"/>
        <v>1161.6673081716162</v>
      </c>
      <c r="Y183" s="60">
        <f t="shared" si="38"/>
        <v>33220.488331457695</v>
      </c>
      <c r="Z183" s="63">
        <f t="shared" si="39"/>
        <v>0.34623718534287201</v>
      </c>
      <c r="AA183" s="59">
        <f t="shared" si="40"/>
        <v>33221.52955833367</v>
      </c>
      <c r="AB183" s="60"/>
      <c r="AC183" s="59">
        <v>33575.111915093155</v>
      </c>
      <c r="AD183" s="106">
        <f t="shared" si="47"/>
        <v>-353.58235675948526</v>
      </c>
      <c r="AE183" s="106">
        <v>-355.44477334986004</v>
      </c>
      <c r="AF183" s="106">
        <f t="shared" si="48"/>
        <v>1.862416590374778</v>
      </c>
      <c r="AG183" s="59"/>
    </row>
    <row r="184" spans="2:33" x14ac:dyDescent="0.35">
      <c r="B184">
        <v>757</v>
      </c>
      <c r="C184" s="17">
        <v>7</v>
      </c>
      <c r="D184" s="22" t="s">
        <v>181</v>
      </c>
      <c r="E184" s="90">
        <v>525.4</v>
      </c>
      <c r="F184" s="90">
        <f>INDEX('Revised 2019 Lockdown'!H$5:H$257,MATCH(B184,'Revised 2019 Lockdown'!B$5:B$257,0))</f>
        <v>525.4</v>
      </c>
      <c r="G184" s="90">
        <f t="shared" si="41"/>
        <v>0</v>
      </c>
      <c r="H184" s="5">
        <v>282725.34000000003</v>
      </c>
      <c r="I184" s="5">
        <f>INDEX('Revised 2019 Lockdown'!E$5:E$257,MATCH(B184,'Revised 2019 Lockdown'!B$5:B$257,0))</f>
        <v>282725.34000000003</v>
      </c>
      <c r="J184" s="5">
        <f t="shared" si="42"/>
        <v>0</v>
      </c>
      <c r="K184" s="5">
        <v>29075.73</v>
      </c>
      <c r="L184" s="5">
        <f>INDEX('Revised 2019 Lockdown'!F$5:F$257,MATCH(B184,'Revised 2019 Lockdown'!B$5:B$257,0))</f>
        <v>29075.73</v>
      </c>
      <c r="M184" s="5">
        <f t="shared" si="43"/>
        <v>0</v>
      </c>
      <c r="N184" s="5">
        <v>253649.61000000002</v>
      </c>
      <c r="O184" s="60">
        <f>INDEX('Revised 2019 Lockdown'!G$5:G$257,MATCH(B184,'Revised 2019 Lockdown'!B$5:B$257,0))</f>
        <v>253649.61000000002</v>
      </c>
      <c r="P184" s="5">
        <f t="shared" si="44"/>
        <v>0</v>
      </c>
      <c r="Q184" s="58">
        <f t="shared" si="45"/>
        <v>482.77428625808915</v>
      </c>
      <c r="R184" s="6">
        <f t="shared" si="33"/>
        <v>482.77428625808915</v>
      </c>
      <c r="S184" s="5">
        <f t="shared" si="46"/>
        <v>253649.61000000002</v>
      </c>
      <c r="T184" s="82">
        <v>0.91666666666666674</v>
      </c>
      <c r="U184" s="60">
        <f t="shared" si="34"/>
        <v>58496.982679928129</v>
      </c>
      <c r="V184" s="60">
        <f t="shared" si="35"/>
        <v>37556.46678444057</v>
      </c>
      <c r="W184" s="60">
        <f t="shared" si="36"/>
        <v>16086.670236980237</v>
      </c>
      <c r="X184" s="60">
        <f t="shared" si="37"/>
        <v>3071.0271992527105</v>
      </c>
      <c r="Y184" s="60">
        <f t="shared" si="38"/>
        <v>115211.14690060164</v>
      </c>
      <c r="Z184" s="63">
        <f t="shared" si="39"/>
        <v>0.45421377506001936</v>
      </c>
      <c r="AA184" s="59">
        <f t="shared" si="40"/>
        <v>115214.75795355691</v>
      </c>
      <c r="AB184" s="60"/>
      <c r="AC184" s="59">
        <v>115495.49280317752</v>
      </c>
      <c r="AD184" s="106">
        <f t="shared" si="47"/>
        <v>-280.73484962061048</v>
      </c>
      <c r="AE184" s="106">
        <v>-279.49812433354964</v>
      </c>
      <c r="AF184" s="106">
        <f t="shared" si="48"/>
        <v>-1.2367252870608354</v>
      </c>
      <c r="AG184" s="59"/>
    </row>
    <row r="185" spans="2:33" x14ac:dyDescent="0.35">
      <c r="B185">
        <v>786</v>
      </c>
      <c r="C185" s="17">
        <v>7</v>
      </c>
      <c r="D185" s="22" t="s">
        <v>182</v>
      </c>
      <c r="E185" s="90">
        <v>3077.6600000000003</v>
      </c>
      <c r="F185" s="90">
        <f>INDEX('Revised 2019 Lockdown'!H$5:H$257,MATCH(B185,'Revised 2019 Lockdown'!B$5:B$257,0))</f>
        <v>3077.6600000000003</v>
      </c>
      <c r="G185" s="90">
        <f t="shared" si="41"/>
        <v>0</v>
      </c>
      <c r="H185" s="5">
        <v>1688120.75</v>
      </c>
      <c r="I185" s="5">
        <f>INDEX('Revised 2019 Lockdown'!E$5:E$257,MATCH(B185,'Revised 2019 Lockdown'!B$5:B$257,0))</f>
        <v>1688120.75</v>
      </c>
      <c r="J185" s="5">
        <f t="shared" si="42"/>
        <v>0</v>
      </c>
      <c r="K185" s="5">
        <v>214655.14</v>
      </c>
      <c r="L185" s="5">
        <f>INDEX('Revised 2019 Lockdown'!F$5:F$257,MATCH(B185,'Revised 2019 Lockdown'!B$5:B$257,0))</f>
        <v>214655.14</v>
      </c>
      <c r="M185" s="5">
        <f t="shared" si="43"/>
        <v>0</v>
      </c>
      <c r="N185" s="5">
        <v>1473465.6099999999</v>
      </c>
      <c r="O185" s="60">
        <f>INDEX('Revised 2019 Lockdown'!G$5:G$257,MATCH(B185,'Revised 2019 Lockdown'!B$5:B$257,0))</f>
        <v>1473465.6099999999</v>
      </c>
      <c r="P185" s="5">
        <f t="shared" si="44"/>
        <v>0</v>
      </c>
      <c r="Q185" s="58">
        <f t="shared" si="45"/>
        <v>478.76165983247006</v>
      </c>
      <c r="R185" s="6">
        <f t="shared" si="33"/>
        <v>478.76165983247006</v>
      </c>
      <c r="S185" s="5">
        <f t="shared" si="46"/>
        <v>1473465.6099999999</v>
      </c>
      <c r="T185" s="82">
        <v>0.91666666666666674</v>
      </c>
      <c r="U185" s="60">
        <f t="shared" si="34"/>
        <v>339812.43758915976</v>
      </c>
      <c r="V185" s="60">
        <f t="shared" si="35"/>
        <v>219996.26106547652</v>
      </c>
      <c r="W185" s="60">
        <f t="shared" si="36"/>
        <v>93448.42033701895</v>
      </c>
      <c r="X185" s="60">
        <f t="shared" si="37"/>
        <v>17839.778919721131</v>
      </c>
      <c r="Y185" s="60">
        <f t="shared" si="38"/>
        <v>671096.89791137632</v>
      </c>
      <c r="Z185" s="63">
        <f t="shared" si="39"/>
        <v>0.45545474109258399</v>
      </c>
      <c r="AA185" s="59">
        <f t="shared" si="40"/>
        <v>671117.93204306986</v>
      </c>
      <c r="AB185" s="60"/>
      <c r="AC185" s="59">
        <v>672751.09718612011</v>
      </c>
      <c r="AD185" s="106">
        <f t="shared" si="47"/>
        <v>-1633.1651430502534</v>
      </c>
      <c r="AE185" s="106">
        <v>-1625.9809393575415</v>
      </c>
      <c r="AF185" s="106">
        <f t="shared" si="48"/>
        <v>-7.1842036927118897</v>
      </c>
      <c r="AG185" s="59"/>
    </row>
    <row r="186" spans="2:33" x14ac:dyDescent="0.35">
      <c r="B186">
        <v>854</v>
      </c>
      <c r="C186" s="17">
        <v>7</v>
      </c>
      <c r="D186" s="22" t="s">
        <v>183</v>
      </c>
      <c r="E186" s="90">
        <v>929.24</v>
      </c>
      <c r="F186" s="90">
        <f>INDEX('Revised 2019 Lockdown'!H$5:H$257,MATCH(B186,'Revised 2019 Lockdown'!B$5:B$257,0))</f>
        <v>929.24</v>
      </c>
      <c r="G186" s="90">
        <f t="shared" si="41"/>
        <v>0</v>
      </c>
      <c r="H186" s="5">
        <v>538668.79</v>
      </c>
      <c r="I186" s="5">
        <f>INDEX('Revised 2019 Lockdown'!E$5:E$257,MATCH(B186,'Revised 2019 Lockdown'!B$5:B$257,0))</f>
        <v>538668.79</v>
      </c>
      <c r="J186" s="5">
        <f t="shared" si="42"/>
        <v>0</v>
      </c>
      <c r="K186" s="5">
        <v>37955.19</v>
      </c>
      <c r="L186" s="5">
        <f>INDEX('Revised 2019 Lockdown'!F$5:F$257,MATCH(B186,'Revised 2019 Lockdown'!B$5:B$257,0))</f>
        <v>37955.19</v>
      </c>
      <c r="M186" s="5">
        <f t="shared" si="43"/>
        <v>0</v>
      </c>
      <c r="N186" s="5">
        <v>500713.60000000003</v>
      </c>
      <c r="O186" s="60">
        <f>INDEX('Revised 2019 Lockdown'!G$5:G$257,MATCH(B186,'Revised 2019 Lockdown'!B$5:B$257,0))</f>
        <v>500713.60000000003</v>
      </c>
      <c r="P186" s="5">
        <f t="shared" si="44"/>
        <v>0</v>
      </c>
      <c r="Q186" s="58">
        <f t="shared" si="45"/>
        <v>538.84206448280315</v>
      </c>
      <c r="R186" s="6">
        <f t="shared" si="33"/>
        <v>538.84206448280315</v>
      </c>
      <c r="S186" s="5">
        <f t="shared" si="46"/>
        <v>500713.60000000003</v>
      </c>
      <c r="T186" s="82">
        <v>0.87962962962962954</v>
      </c>
      <c r="U186" s="60">
        <f t="shared" si="34"/>
        <v>115475.18163660675</v>
      </c>
      <c r="V186" s="60">
        <f t="shared" si="35"/>
        <v>66423.622372998783</v>
      </c>
      <c r="W186" s="60">
        <f t="shared" si="36"/>
        <v>30472.617376326776</v>
      </c>
      <c r="X186" s="60">
        <f t="shared" si="37"/>
        <v>6062.3199248591081</v>
      </c>
      <c r="Y186" s="60">
        <f t="shared" si="38"/>
        <v>218433.74131079143</v>
      </c>
      <c r="Z186" s="63">
        <f t="shared" si="39"/>
        <v>0.43624487393749922</v>
      </c>
      <c r="AA186" s="59">
        <f t="shared" si="40"/>
        <v>218440.58766054412</v>
      </c>
      <c r="AB186" s="60"/>
      <c r="AC186" s="59">
        <v>218981.01132104639</v>
      </c>
      <c r="AD186" s="106">
        <f t="shared" si="47"/>
        <v>-540.42366050227429</v>
      </c>
      <c r="AE186" s="106">
        <v>-538.00262489620945</v>
      </c>
      <c r="AF186" s="106">
        <f t="shared" si="48"/>
        <v>-2.4210356060648337</v>
      </c>
      <c r="AG186" s="59"/>
    </row>
    <row r="187" spans="2:33" x14ac:dyDescent="0.35">
      <c r="B187">
        <v>855</v>
      </c>
      <c r="C187" s="17">
        <v>7</v>
      </c>
      <c r="D187" s="22" t="s">
        <v>184</v>
      </c>
      <c r="E187" s="90">
        <v>155.11353756998295</v>
      </c>
      <c r="F187" s="90">
        <f>INDEX('Revised 2019 Lockdown'!H$5:H$257,MATCH(B187,'Revised 2019 Lockdown'!B$5:B$257,0))</f>
        <v>155.11353756998295</v>
      </c>
      <c r="G187" s="90">
        <f t="shared" si="41"/>
        <v>0</v>
      </c>
      <c r="H187" s="5">
        <v>140023.82</v>
      </c>
      <c r="I187" s="5">
        <f>INDEX('Revised 2019 Lockdown'!E$5:E$257,MATCH(B187,'Revised 2019 Lockdown'!B$5:B$257,0))</f>
        <v>140023.82</v>
      </c>
      <c r="J187" s="5">
        <f t="shared" si="42"/>
        <v>0</v>
      </c>
      <c r="K187" s="5">
        <v>7037</v>
      </c>
      <c r="L187" s="5">
        <f>INDEX('Revised 2019 Lockdown'!F$5:F$257,MATCH(B187,'Revised 2019 Lockdown'!B$5:B$257,0))</f>
        <v>7037</v>
      </c>
      <c r="M187" s="5">
        <f t="shared" si="43"/>
        <v>0</v>
      </c>
      <c r="N187" s="5">
        <v>132986.82</v>
      </c>
      <c r="O187" s="60">
        <f>INDEX('Revised 2019 Lockdown'!G$5:G$257,MATCH(B187,'Revised 2019 Lockdown'!B$5:B$257,0))</f>
        <v>132986.82</v>
      </c>
      <c r="P187" s="5">
        <f t="shared" si="44"/>
        <v>0</v>
      </c>
      <c r="Q187" s="58">
        <f t="shared" si="45"/>
        <v>857.35147352951071</v>
      </c>
      <c r="R187" s="6">
        <f t="shared" si="33"/>
        <v>782.61515726829293</v>
      </c>
      <c r="S187" s="5">
        <f t="shared" si="46"/>
        <v>121394.20559977347</v>
      </c>
      <c r="T187" s="82">
        <v>0.38425925925925924</v>
      </c>
      <c r="U187" s="60">
        <f t="shared" si="34"/>
        <v>27996.079877329925</v>
      </c>
      <c r="V187" s="60">
        <f t="shared" si="35"/>
        <v>11087.773927605898</v>
      </c>
      <c r="W187" s="60">
        <f t="shared" si="36"/>
        <v>3227.3258747477544</v>
      </c>
      <c r="X187" s="60">
        <f t="shared" si="37"/>
        <v>1469.7633764490315</v>
      </c>
      <c r="Y187" s="60">
        <f t="shared" si="38"/>
        <v>43780.943056132608</v>
      </c>
      <c r="Z187" s="63">
        <f t="shared" si="39"/>
        <v>0.36065101163456442</v>
      </c>
      <c r="AA187" s="59">
        <f t="shared" si="40"/>
        <v>43782.315278422378</v>
      </c>
      <c r="AB187" s="60"/>
      <c r="AC187" s="59">
        <v>44254.102480702713</v>
      </c>
      <c r="AD187" s="106">
        <f t="shared" si="47"/>
        <v>-471.7872022803349</v>
      </c>
      <c r="AE187" s="106">
        <v>-474.25589880495681</v>
      </c>
      <c r="AF187" s="106">
        <f t="shared" si="48"/>
        <v>2.4686965246219188</v>
      </c>
      <c r="AG187" s="59"/>
    </row>
    <row r="188" spans="2:33" x14ac:dyDescent="0.35">
      <c r="B188">
        <v>862</v>
      </c>
      <c r="C188" s="17">
        <v>7</v>
      </c>
      <c r="D188" s="22" t="s">
        <v>185</v>
      </c>
      <c r="E188" s="90">
        <v>12.345441747052517</v>
      </c>
      <c r="F188" s="90">
        <f>INDEX('Revised 2019 Lockdown'!H$5:H$257,MATCH(B188,'Revised 2019 Lockdown'!B$5:B$257,0))</f>
        <v>12.345441747052517</v>
      </c>
      <c r="G188" s="90">
        <f t="shared" si="41"/>
        <v>0</v>
      </c>
      <c r="H188" s="5">
        <v>11467.29</v>
      </c>
      <c r="I188" s="5">
        <f>INDEX('Revised 2019 Lockdown'!E$5:E$257,MATCH(B188,'Revised 2019 Lockdown'!B$5:B$257,0))</f>
        <v>11467.29</v>
      </c>
      <c r="J188" s="5">
        <f t="shared" si="42"/>
        <v>0</v>
      </c>
      <c r="K188" s="5">
        <v>8232.5</v>
      </c>
      <c r="L188" s="5">
        <f>INDEX('Revised 2019 Lockdown'!F$5:F$257,MATCH(B188,'Revised 2019 Lockdown'!B$5:B$257,0))</f>
        <v>8232.5</v>
      </c>
      <c r="M188" s="5">
        <f t="shared" si="43"/>
        <v>0</v>
      </c>
      <c r="N188" s="5">
        <v>3234.7900000000009</v>
      </c>
      <c r="O188" s="60">
        <f>INDEX('Revised 2019 Lockdown'!G$5:G$257,MATCH(B188,'Revised 2019 Lockdown'!B$5:B$257,0))</f>
        <v>3234.7900000000009</v>
      </c>
      <c r="P188" s="5">
        <f t="shared" si="44"/>
        <v>0</v>
      </c>
      <c r="Q188" s="58">
        <f t="shared" si="45"/>
        <v>262.02302568657046</v>
      </c>
      <c r="R188" s="6">
        <f t="shared" si="33"/>
        <v>262.02302568657046</v>
      </c>
      <c r="S188" s="5">
        <f t="shared" si="46"/>
        <v>3234.7900000000009</v>
      </c>
      <c r="T188" s="82">
        <v>0.33333333333333337</v>
      </c>
      <c r="U188" s="60">
        <f t="shared" si="34"/>
        <v>746.01121840165558</v>
      </c>
      <c r="V188" s="60">
        <f t="shared" si="35"/>
        <v>882.47273108569436</v>
      </c>
      <c r="W188" s="60">
        <f t="shared" si="36"/>
        <v>74.601121840165561</v>
      </c>
      <c r="X188" s="60">
        <f t="shared" si="37"/>
        <v>39.164767782890259</v>
      </c>
      <c r="Y188" s="60">
        <f t="shared" si="38"/>
        <v>1742.2498391104059</v>
      </c>
      <c r="Z188" s="63">
        <f t="shared" si="39"/>
        <v>0.53859750991885269</v>
      </c>
      <c r="AA188" s="59">
        <f t="shared" si="40"/>
        <v>1742.3044462955575</v>
      </c>
      <c r="AB188" s="60"/>
      <c r="AC188" s="59">
        <v>1746.0185777813183</v>
      </c>
      <c r="AD188" s="106">
        <f t="shared" si="47"/>
        <v>-3.714131485760845</v>
      </c>
      <c r="AE188" s="106">
        <v>-3.7004300175472054</v>
      </c>
      <c r="AF188" s="106">
        <f t="shared" si="48"/>
        <v>-1.37014682136396E-2</v>
      </c>
      <c r="AG188" s="59"/>
    </row>
    <row r="189" spans="2:33" x14ac:dyDescent="0.35">
      <c r="B189">
        <v>958</v>
      </c>
      <c r="C189" s="17">
        <v>7</v>
      </c>
      <c r="D189" s="22" t="s">
        <v>186</v>
      </c>
      <c r="E189" s="90">
        <v>508.60074662379418</v>
      </c>
      <c r="F189" s="90">
        <f>INDEX('Revised 2019 Lockdown'!H$5:H$257,MATCH(B189,'Revised 2019 Lockdown'!B$5:B$257,0))</f>
        <v>508.60074662379418</v>
      </c>
      <c r="G189" s="90">
        <f t="shared" si="41"/>
        <v>0</v>
      </c>
      <c r="H189" s="5">
        <v>99405.3</v>
      </c>
      <c r="I189" s="5">
        <f>INDEX('Revised 2019 Lockdown'!E$5:E$257,MATCH(B189,'Revised 2019 Lockdown'!B$5:B$257,0))</f>
        <v>99405.3</v>
      </c>
      <c r="J189" s="5">
        <f t="shared" si="42"/>
        <v>0</v>
      </c>
      <c r="K189" s="5">
        <v>311.52</v>
      </c>
      <c r="L189" s="5">
        <f>INDEX('Revised 2019 Lockdown'!F$5:F$257,MATCH(B189,'Revised 2019 Lockdown'!B$5:B$257,0))</f>
        <v>311.52</v>
      </c>
      <c r="M189" s="5">
        <f t="shared" si="43"/>
        <v>0</v>
      </c>
      <c r="N189" s="5">
        <v>99093.78</v>
      </c>
      <c r="O189" s="60">
        <f>INDEX('Revised 2019 Lockdown'!G$5:G$257,MATCH(B189,'Revised 2019 Lockdown'!B$5:B$257,0))</f>
        <v>99093.78</v>
      </c>
      <c r="P189" s="5">
        <f t="shared" si="44"/>
        <v>0</v>
      </c>
      <c r="Q189" s="58">
        <f t="shared" si="45"/>
        <v>194.83608834199859</v>
      </c>
      <c r="R189" s="6">
        <f t="shared" si="33"/>
        <v>194.83608834199859</v>
      </c>
      <c r="S189" s="5">
        <f t="shared" si="46"/>
        <v>99093.78</v>
      </c>
      <c r="T189" s="82">
        <v>0.85185185185185164</v>
      </c>
      <c r="U189" s="60">
        <f t="shared" si="34"/>
        <v>22853.128504114822</v>
      </c>
      <c r="V189" s="60">
        <f t="shared" si="35"/>
        <v>36355.628182562235</v>
      </c>
      <c r="W189" s="60">
        <f t="shared" si="36"/>
        <v>5840.2439510515642</v>
      </c>
      <c r="X189" s="60">
        <f t="shared" si="37"/>
        <v>1199.7640905371952</v>
      </c>
      <c r="Y189" s="60">
        <f t="shared" si="38"/>
        <v>66248.764728265814</v>
      </c>
      <c r="Z189" s="63">
        <f t="shared" si="39"/>
        <v>0.66854614616846597</v>
      </c>
      <c r="AA189" s="59">
        <f t="shared" si="40"/>
        <v>66250.841157535819</v>
      </c>
      <c r="AB189" s="60"/>
      <c r="AC189" s="59">
        <v>66387.182883506292</v>
      </c>
      <c r="AD189" s="106">
        <f t="shared" si="47"/>
        <v>-136.34172597047291</v>
      </c>
      <c r="AE189" s="106">
        <v>-135.86569458973827</v>
      </c>
      <c r="AF189" s="106">
        <f t="shared" si="48"/>
        <v>-0.47603138073463924</v>
      </c>
      <c r="AG189" s="59"/>
    </row>
    <row r="190" spans="2:33" x14ac:dyDescent="0.35">
      <c r="B190">
        <v>967</v>
      </c>
      <c r="C190" s="17">
        <v>7</v>
      </c>
      <c r="D190" s="22" t="s">
        <v>187</v>
      </c>
      <c r="E190" s="90">
        <v>155.99990261402883</v>
      </c>
      <c r="F190" s="90">
        <f>INDEX('Revised 2019 Lockdown'!H$5:H$257,MATCH(B190,'Revised 2019 Lockdown'!B$5:B$257,0))</f>
        <v>155.99990261402883</v>
      </c>
      <c r="G190" s="90">
        <f t="shared" si="41"/>
        <v>0</v>
      </c>
      <c r="H190" s="5">
        <v>82909.41</v>
      </c>
      <c r="I190" s="5">
        <f>INDEX('Revised 2019 Lockdown'!E$5:E$257,MATCH(B190,'Revised 2019 Lockdown'!B$5:B$257,0))</f>
        <v>91606.77</v>
      </c>
      <c r="J190" s="5">
        <f t="shared" si="42"/>
        <v>8697.36</v>
      </c>
      <c r="K190" s="5">
        <v>0</v>
      </c>
      <c r="L190" s="5">
        <f>INDEX('Revised 2019 Lockdown'!F$5:F$257,MATCH(B190,'Revised 2019 Lockdown'!B$5:B$257,0))</f>
        <v>0</v>
      </c>
      <c r="M190" s="5">
        <f t="shared" si="43"/>
        <v>0</v>
      </c>
      <c r="N190" s="5">
        <v>82909.41</v>
      </c>
      <c r="O190" s="60">
        <f>INDEX('Revised 2019 Lockdown'!G$5:G$257,MATCH(B190,'Revised 2019 Lockdown'!B$5:B$257,0))</f>
        <v>91606.77</v>
      </c>
      <c r="P190" s="5">
        <f t="shared" si="44"/>
        <v>8697.36</v>
      </c>
      <c r="Q190" s="58">
        <f t="shared" si="45"/>
        <v>587.22325120068342</v>
      </c>
      <c r="R190" s="6">
        <f t="shared" si="33"/>
        <v>587.22325120068342</v>
      </c>
      <c r="S190" s="5">
        <f t="shared" si="46"/>
        <v>91606.77</v>
      </c>
      <c r="T190" s="82">
        <v>0.34722222222222221</v>
      </c>
      <c r="U190" s="60">
        <f t="shared" si="34"/>
        <v>21126.46511876821</v>
      </c>
      <c r="V190" s="60">
        <f t="shared" si="35"/>
        <v>11151.132776741029</v>
      </c>
      <c r="W190" s="60">
        <f t="shared" si="36"/>
        <v>2200.6734498716883</v>
      </c>
      <c r="X190" s="60">
        <f t="shared" si="37"/>
        <v>1109.1161634574848</v>
      </c>
      <c r="Y190" s="60">
        <f t="shared" si="38"/>
        <v>35587.387508838408</v>
      </c>
      <c r="Z190" s="63">
        <f t="shared" si="39"/>
        <v>0.38847988537133671</v>
      </c>
      <c r="AA190" s="59">
        <f t="shared" si="40"/>
        <v>35588.50292122941</v>
      </c>
      <c r="AB190" s="60"/>
      <c r="AC190" s="59">
        <v>33349.027818350347</v>
      </c>
      <c r="AD190" s="106">
        <f t="shared" si="47"/>
        <v>2239.4751028790633</v>
      </c>
      <c r="AE190" s="106">
        <v>2239.8645641563053</v>
      </c>
      <c r="AF190" s="106">
        <f t="shared" si="48"/>
        <v>-0.38946127724193502</v>
      </c>
      <c r="AG190" s="59"/>
    </row>
    <row r="191" spans="2:33" x14ac:dyDescent="0.35">
      <c r="B191">
        <v>971</v>
      </c>
      <c r="C191" s="17">
        <v>7</v>
      </c>
      <c r="D191" s="22" t="s">
        <v>188</v>
      </c>
      <c r="E191" s="90">
        <v>888.33999999999992</v>
      </c>
      <c r="F191" s="90">
        <f>INDEX('Revised 2019 Lockdown'!H$5:H$257,MATCH(B191,'Revised 2019 Lockdown'!B$5:B$257,0))</f>
        <v>888.33999999999992</v>
      </c>
      <c r="G191" s="90">
        <f t="shared" si="41"/>
        <v>0</v>
      </c>
      <c r="H191" s="5">
        <v>579439.27</v>
      </c>
      <c r="I191" s="5">
        <f>INDEX('Revised 2019 Lockdown'!E$5:E$257,MATCH(B191,'Revised 2019 Lockdown'!B$5:B$257,0))</f>
        <v>579439.27</v>
      </c>
      <c r="J191" s="5">
        <f t="shared" si="42"/>
        <v>0</v>
      </c>
      <c r="K191" s="5">
        <v>96935.22</v>
      </c>
      <c r="L191" s="5">
        <f>INDEX('Revised 2019 Lockdown'!F$5:F$257,MATCH(B191,'Revised 2019 Lockdown'!B$5:B$257,0))</f>
        <v>96935.22</v>
      </c>
      <c r="M191" s="5">
        <f t="shared" si="43"/>
        <v>0</v>
      </c>
      <c r="N191" s="5">
        <v>482504.05000000005</v>
      </c>
      <c r="O191" s="60">
        <f>INDEX('Revised 2019 Lockdown'!G$5:G$257,MATCH(B191,'Revised 2019 Lockdown'!B$5:B$257,0))</f>
        <v>482504.05000000005</v>
      </c>
      <c r="P191" s="5">
        <f t="shared" si="44"/>
        <v>0</v>
      </c>
      <c r="Q191" s="58">
        <f t="shared" si="45"/>
        <v>543.15245288965946</v>
      </c>
      <c r="R191" s="6">
        <f t="shared" si="33"/>
        <v>543.15245288965946</v>
      </c>
      <c r="S191" s="5">
        <f t="shared" si="46"/>
        <v>482504.05000000005</v>
      </c>
      <c r="T191" s="82">
        <v>0.5625</v>
      </c>
      <c r="U191" s="60">
        <f t="shared" si="34"/>
        <v>111275.67298780856</v>
      </c>
      <c r="V191" s="60">
        <f t="shared" si="35"/>
        <v>63500.022275009389</v>
      </c>
      <c r="W191" s="60">
        <f t="shared" si="36"/>
        <v>18777.769816692693</v>
      </c>
      <c r="X191" s="60">
        <f t="shared" si="37"/>
        <v>5841.8503434702307</v>
      </c>
      <c r="Y191" s="60">
        <f t="shared" si="38"/>
        <v>199395.31542298087</v>
      </c>
      <c r="Z191" s="63">
        <f t="shared" si="39"/>
        <v>0.41325107099718822</v>
      </c>
      <c r="AA191" s="59">
        <f t="shared" si="40"/>
        <v>199401.5650530071</v>
      </c>
      <c r="AB191" s="60"/>
      <c r="AC191" s="59">
        <v>199890.31108239078</v>
      </c>
      <c r="AD191" s="106">
        <f t="shared" si="47"/>
        <v>-488.74602938367752</v>
      </c>
      <c r="AE191" s="106">
        <v>-486.58081474760547</v>
      </c>
      <c r="AF191" s="106">
        <f t="shared" si="48"/>
        <v>-2.1652146360720508</v>
      </c>
      <c r="AG191" s="59"/>
    </row>
    <row r="192" spans="2:33" x14ac:dyDescent="0.35">
      <c r="B192" s="18">
        <v>975</v>
      </c>
      <c r="C192" s="17">
        <v>7</v>
      </c>
      <c r="D192" s="22" t="s">
        <v>189</v>
      </c>
      <c r="E192" s="90">
        <v>30.317539180659761</v>
      </c>
      <c r="F192" s="90">
        <f>INDEX('Revised 2019 Lockdown'!H$5:H$257,MATCH(B192,'Revised 2019 Lockdown'!B$5:B$257,0))</f>
        <v>30.317539180659761</v>
      </c>
      <c r="G192" s="90">
        <f t="shared" si="41"/>
        <v>0</v>
      </c>
      <c r="H192" s="5">
        <v>76785.06</v>
      </c>
      <c r="I192" s="5">
        <f>INDEX('Revised 2019 Lockdown'!E$5:E$257,MATCH(B192,'Revised 2019 Lockdown'!B$5:B$257,0))</f>
        <v>76785.06</v>
      </c>
      <c r="J192" s="5">
        <f t="shared" si="42"/>
        <v>0</v>
      </c>
      <c r="K192" s="5">
        <v>0</v>
      </c>
      <c r="L192" s="5">
        <f>INDEX('Revised 2019 Lockdown'!F$5:F$257,MATCH(B192,'Revised 2019 Lockdown'!B$5:B$257,0))</f>
        <v>0</v>
      </c>
      <c r="M192" s="5">
        <f t="shared" si="43"/>
        <v>0</v>
      </c>
      <c r="N192" s="5">
        <v>76785.06</v>
      </c>
      <c r="O192" s="60">
        <f>INDEX('Revised 2019 Lockdown'!G$5:G$257,MATCH(B192,'Revised 2019 Lockdown'!B$5:B$257,0))</f>
        <v>76785.06</v>
      </c>
      <c r="P192" s="5">
        <f t="shared" si="44"/>
        <v>0</v>
      </c>
      <c r="Q192" s="58">
        <f t="shared" si="45"/>
        <v>2532.694343773881</v>
      </c>
      <c r="R192" s="6">
        <f t="shared" si="33"/>
        <v>782.61515726829293</v>
      </c>
      <c r="S192" s="5">
        <f t="shared" si="46"/>
        <v>23726.965693859671</v>
      </c>
      <c r="T192" s="82">
        <v>0.2361111111111111</v>
      </c>
      <c r="U192" s="60">
        <f t="shared" si="34"/>
        <v>5471.9417910437869</v>
      </c>
      <c r="V192" s="60">
        <f t="shared" si="35"/>
        <v>2167.1481789577915</v>
      </c>
      <c r="W192" s="60">
        <f t="shared" si="36"/>
        <v>387.5958768656015</v>
      </c>
      <c r="X192" s="60">
        <f t="shared" si="37"/>
        <v>287.27092070663542</v>
      </c>
      <c r="Y192" s="60">
        <f t="shared" si="38"/>
        <v>8313.9567675738144</v>
      </c>
      <c r="Z192" s="63">
        <f t="shared" si="39"/>
        <v>0.35040117960491651</v>
      </c>
      <c r="AA192" s="59">
        <f t="shared" si="40"/>
        <v>8314.2173511975616</v>
      </c>
      <c r="AB192" s="60"/>
      <c r="AC192" s="59">
        <v>8403.034726887101</v>
      </c>
      <c r="AD192" s="106">
        <f t="shared" si="47"/>
        <v>-88.817375689539404</v>
      </c>
      <c r="AE192" s="106">
        <v>-89.28546918754364</v>
      </c>
      <c r="AF192" s="106">
        <f t="shared" si="48"/>
        <v>0.46809349800423661</v>
      </c>
      <c r="AG192" s="59"/>
    </row>
    <row r="193" spans="2:33" x14ac:dyDescent="0.35">
      <c r="B193">
        <v>976</v>
      </c>
      <c r="C193" s="17">
        <v>7</v>
      </c>
      <c r="D193" s="22" t="s">
        <v>295</v>
      </c>
      <c r="E193" s="90">
        <v>31.32229912468739</v>
      </c>
      <c r="F193" s="90">
        <f>INDEX('Revised 2019 Lockdown'!H$5:H$257,MATCH(B193,'Revised 2019 Lockdown'!B$5:B$257,0))</f>
        <v>31.32229912468739</v>
      </c>
      <c r="G193" s="90">
        <f t="shared" si="41"/>
        <v>0</v>
      </c>
      <c r="H193" s="5">
        <v>39297.230000000003</v>
      </c>
      <c r="I193" s="5">
        <f>INDEX('Revised 2019 Lockdown'!E$5:E$257,MATCH(B193,'Revised 2019 Lockdown'!B$5:B$257,0))</f>
        <v>39297.230000000003</v>
      </c>
      <c r="J193" s="5">
        <f t="shared" si="42"/>
        <v>0</v>
      </c>
      <c r="K193" s="5">
        <v>0</v>
      </c>
      <c r="L193" s="5">
        <f>INDEX('Revised 2019 Lockdown'!F$5:F$257,MATCH(B193,'Revised 2019 Lockdown'!B$5:B$257,0))</f>
        <v>0</v>
      </c>
      <c r="M193" s="5">
        <f t="shared" si="43"/>
        <v>0</v>
      </c>
      <c r="N193" s="5">
        <v>39297.230000000003</v>
      </c>
      <c r="O193" s="60">
        <f>INDEX('Revised 2019 Lockdown'!G$5:G$257,MATCH(B193,'Revised 2019 Lockdown'!B$5:B$257,0))</f>
        <v>39297.230000000003</v>
      </c>
      <c r="P193" s="5">
        <f t="shared" si="44"/>
        <v>0</v>
      </c>
      <c r="Q193" s="58">
        <f t="shared" si="45"/>
        <v>1254.6087323783645</v>
      </c>
      <c r="R193" s="6">
        <f t="shared" si="33"/>
        <v>782.61515726829293</v>
      </c>
      <c r="S193" s="5">
        <f t="shared" si="46"/>
        <v>24513.306055471738</v>
      </c>
      <c r="T193" s="82">
        <v>0.28675925925925927</v>
      </c>
      <c r="U193" s="60">
        <f t="shared" si="34"/>
        <v>5653.2885650985527</v>
      </c>
      <c r="V193" s="60">
        <f t="shared" si="35"/>
        <v>2238.9700926696496</v>
      </c>
      <c r="W193" s="60">
        <f t="shared" si="36"/>
        <v>486.3398523919505</v>
      </c>
      <c r="X193" s="60">
        <f t="shared" si="37"/>
        <v>296.7914267242906</v>
      </c>
      <c r="Y193" s="60">
        <f t="shared" si="38"/>
        <v>8675.3899368844432</v>
      </c>
      <c r="Z193" s="63">
        <f t="shared" si="39"/>
        <v>0.35390534093005238</v>
      </c>
      <c r="AA193" s="59">
        <f t="shared" si="40"/>
        <v>8675.6618488765762</v>
      </c>
      <c r="AB193" s="60"/>
      <c r="AC193" s="59">
        <v>8768.6219606240047</v>
      </c>
      <c r="AD193" s="106">
        <f t="shared" si="47"/>
        <v>-92.960111747428527</v>
      </c>
      <c r="AE193" s="106">
        <v>-93.450267791207807</v>
      </c>
      <c r="AF193" s="106">
        <f t="shared" si="48"/>
        <v>0.49015604377927957</v>
      </c>
      <c r="AG193" s="59"/>
    </row>
    <row r="194" spans="2:33" x14ac:dyDescent="0.35">
      <c r="B194">
        <v>977</v>
      </c>
      <c r="C194" s="17">
        <v>7</v>
      </c>
      <c r="D194" s="22" t="s">
        <v>190</v>
      </c>
      <c r="E194" s="90">
        <v>47.09266172442539</v>
      </c>
      <c r="F194" s="90">
        <f>INDEX('Revised 2019 Lockdown'!H$5:H$257,MATCH(B194,'Revised 2019 Lockdown'!B$5:B$257,0))</f>
        <v>47.09266172442539</v>
      </c>
      <c r="G194" s="90">
        <f t="shared" si="41"/>
        <v>0</v>
      </c>
      <c r="H194" s="5">
        <v>60860.35</v>
      </c>
      <c r="I194" s="5">
        <f>INDEX('Revised 2019 Lockdown'!E$5:E$257,MATCH(B194,'Revised 2019 Lockdown'!B$5:B$257,0))</f>
        <v>60860.35</v>
      </c>
      <c r="J194" s="5">
        <f t="shared" si="42"/>
        <v>0</v>
      </c>
      <c r="K194" s="5">
        <v>0</v>
      </c>
      <c r="L194" s="5">
        <f>INDEX('Revised 2019 Lockdown'!F$5:F$257,MATCH(B194,'Revised 2019 Lockdown'!B$5:B$257,0))</f>
        <v>0</v>
      </c>
      <c r="M194" s="5">
        <f t="shared" si="43"/>
        <v>0</v>
      </c>
      <c r="N194" s="5">
        <v>60860.35</v>
      </c>
      <c r="O194" s="60">
        <f>INDEX('Revised 2019 Lockdown'!G$5:G$257,MATCH(B194,'Revised 2019 Lockdown'!B$5:B$257,0))</f>
        <v>60860.35</v>
      </c>
      <c r="P194" s="5">
        <f t="shared" si="44"/>
        <v>0</v>
      </c>
      <c r="Q194" s="58">
        <f t="shared" si="45"/>
        <v>1292.3531559150281</v>
      </c>
      <c r="R194" s="6">
        <f t="shared" si="33"/>
        <v>782.61515726829293</v>
      </c>
      <c r="S194" s="5">
        <f t="shared" si="46"/>
        <v>36855.430861643697</v>
      </c>
      <c r="T194" s="82">
        <v>0.27777777777777779</v>
      </c>
      <c r="U194" s="60">
        <f t="shared" si="34"/>
        <v>8499.6444535233459</v>
      </c>
      <c r="V194" s="60">
        <f t="shared" si="35"/>
        <v>3366.2618687557629</v>
      </c>
      <c r="W194" s="60">
        <f t="shared" si="36"/>
        <v>708.30370446027882</v>
      </c>
      <c r="X194" s="60">
        <f t="shared" si="37"/>
        <v>446.22197769705048</v>
      </c>
      <c r="Y194" s="60">
        <f t="shared" si="38"/>
        <v>13020.432004436438</v>
      </c>
      <c r="Z194" s="63">
        <f t="shared" si="39"/>
        <v>0.35328394486325498</v>
      </c>
      <c r="AA194" s="59">
        <f t="shared" si="40"/>
        <v>13020.840102704125</v>
      </c>
      <c r="AB194" s="60"/>
      <c r="AC194" s="59">
        <v>13160.28466921068</v>
      </c>
      <c r="AD194" s="106">
        <f t="shared" si="47"/>
        <v>-139.44456650655411</v>
      </c>
      <c r="AE194" s="106">
        <v>-140.17976346845717</v>
      </c>
      <c r="AF194" s="106">
        <f t="shared" si="48"/>
        <v>0.73519696190305694</v>
      </c>
      <c r="AG194" s="59"/>
    </row>
    <row r="195" spans="2:33" x14ac:dyDescent="0.35">
      <c r="B195">
        <v>979</v>
      </c>
      <c r="C195" s="17">
        <v>7</v>
      </c>
      <c r="D195" s="22" t="s">
        <v>349</v>
      </c>
      <c r="E195" s="90">
        <v>251.06766740502562</v>
      </c>
      <c r="F195" s="90">
        <f>INDEX('Revised 2019 Lockdown'!H$5:H$257,MATCH(B195,'Revised 2019 Lockdown'!B$5:B$257,0))</f>
        <v>251.06766740502562</v>
      </c>
      <c r="G195" s="90">
        <f t="shared" si="41"/>
        <v>0</v>
      </c>
      <c r="H195" s="5">
        <v>106200.78</v>
      </c>
      <c r="I195" s="5">
        <f>INDEX('Revised 2019 Lockdown'!E$5:E$257,MATCH(B195,'Revised 2019 Lockdown'!B$5:B$257,0))</f>
        <v>106200.78</v>
      </c>
      <c r="J195" s="5">
        <f t="shared" si="42"/>
        <v>0</v>
      </c>
      <c r="K195" s="5">
        <v>0</v>
      </c>
      <c r="L195" s="5">
        <f>INDEX('Revised 2019 Lockdown'!F$5:F$257,MATCH(B195,'Revised 2019 Lockdown'!B$5:B$257,0))</f>
        <v>0</v>
      </c>
      <c r="M195" s="5">
        <f t="shared" si="43"/>
        <v>0</v>
      </c>
      <c r="N195" s="5">
        <v>106200.78</v>
      </c>
      <c r="O195" s="60">
        <f>INDEX('Revised 2019 Lockdown'!G$5:G$257,MATCH(B195,'Revised 2019 Lockdown'!B$5:B$257,0))</f>
        <v>106200.78</v>
      </c>
      <c r="P195" s="5">
        <f t="shared" si="44"/>
        <v>0</v>
      </c>
      <c r="Q195" s="58">
        <f t="shared" si="45"/>
        <v>422.99664109546819</v>
      </c>
      <c r="R195" s="6">
        <f t="shared" si="33"/>
        <v>422.99664109546819</v>
      </c>
      <c r="S195" s="5">
        <f t="shared" si="46"/>
        <v>106200.78</v>
      </c>
      <c r="T195" s="82">
        <v>0.94444444444444442</v>
      </c>
      <c r="U195" s="60">
        <f t="shared" si="34"/>
        <v>24492.153519395739</v>
      </c>
      <c r="V195" s="60">
        <f t="shared" si="35"/>
        <v>17946.734890642969</v>
      </c>
      <c r="W195" s="60">
        <f t="shared" si="36"/>
        <v>6939.4434971621249</v>
      </c>
      <c r="X195" s="60">
        <f t="shared" si="37"/>
        <v>1285.8110996577257</v>
      </c>
      <c r="Y195" s="60">
        <f t="shared" si="38"/>
        <v>50664.143006858554</v>
      </c>
      <c r="Z195" s="63">
        <f t="shared" si="39"/>
        <v>0.47705998964281199</v>
      </c>
      <c r="AA195" s="59">
        <f t="shared" si="40"/>
        <v>50665.730968685624</v>
      </c>
      <c r="AB195" s="60"/>
      <c r="AC195" s="59">
        <v>50786.744655912393</v>
      </c>
      <c r="AD195" s="106">
        <f t="shared" si="47"/>
        <v>-121.01368722676852</v>
      </c>
      <c r="AE195" s="106">
        <v>-120.49265524977091</v>
      </c>
      <c r="AF195" s="106">
        <f t="shared" si="48"/>
        <v>-0.52103197699761949</v>
      </c>
      <c r="AG195" s="59"/>
    </row>
    <row r="196" spans="2:33" x14ac:dyDescent="0.35">
      <c r="B196">
        <v>981</v>
      </c>
      <c r="C196" s="17">
        <v>7</v>
      </c>
      <c r="D196" s="22" t="s">
        <v>191</v>
      </c>
      <c r="E196" s="90">
        <v>202.51591950101229</v>
      </c>
      <c r="F196" s="90">
        <f>INDEX('Revised 2019 Lockdown'!H$5:H$257,MATCH(B196,'Revised 2019 Lockdown'!B$5:B$257,0))</f>
        <v>202.51591950101229</v>
      </c>
      <c r="G196" s="90">
        <f t="shared" si="41"/>
        <v>0</v>
      </c>
      <c r="H196" s="5">
        <v>116776.12</v>
      </c>
      <c r="I196" s="5">
        <f>INDEX('Revised 2019 Lockdown'!E$5:E$257,MATCH(B196,'Revised 2019 Lockdown'!B$5:B$257,0))</f>
        <v>116776.12</v>
      </c>
      <c r="J196" s="5">
        <f t="shared" si="42"/>
        <v>0</v>
      </c>
      <c r="K196" s="5">
        <v>26983</v>
      </c>
      <c r="L196" s="5">
        <f>INDEX('Revised 2019 Lockdown'!F$5:F$257,MATCH(B196,'Revised 2019 Lockdown'!B$5:B$257,0))</f>
        <v>26983</v>
      </c>
      <c r="M196" s="5">
        <f t="shared" si="43"/>
        <v>0</v>
      </c>
      <c r="N196" s="5">
        <v>89793.12</v>
      </c>
      <c r="O196" s="60">
        <f>INDEX('Revised 2019 Lockdown'!G$5:G$257,MATCH(B196,'Revised 2019 Lockdown'!B$5:B$257,0))</f>
        <v>89793.12</v>
      </c>
      <c r="P196" s="5">
        <f t="shared" si="44"/>
        <v>0</v>
      </c>
      <c r="Q196" s="58">
        <f t="shared" si="45"/>
        <v>443.38795795039294</v>
      </c>
      <c r="R196" s="6">
        <f t="shared" si="33"/>
        <v>443.38795795039294</v>
      </c>
      <c r="S196" s="5">
        <f t="shared" si="46"/>
        <v>89793.12</v>
      </c>
      <c r="T196" s="82">
        <v>0.48958333333333331</v>
      </c>
      <c r="U196" s="60">
        <f t="shared" si="34"/>
        <v>20708.198941905361</v>
      </c>
      <c r="V196" s="60">
        <f t="shared" si="35"/>
        <v>14476.17511240999</v>
      </c>
      <c r="W196" s="60">
        <f t="shared" si="36"/>
        <v>3041.5167195923495</v>
      </c>
      <c r="X196" s="60">
        <f t="shared" si="37"/>
        <v>1087.1576495850418</v>
      </c>
      <c r="Y196" s="60">
        <f t="shared" si="38"/>
        <v>39313.048423492743</v>
      </c>
      <c r="Z196" s="63">
        <f t="shared" si="39"/>
        <v>0.43781804690039444</v>
      </c>
      <c r="AA196" s="59">
        <f t="shared" si="40"/>
        <v>39314.280608949703</v>
      </c>
      <c r="AB196" s="60"/>
      <c r="AC196" s="59">
        <v>39407.324581565095</v>
      </c>
      <c r="AD196" s="106">
        <f t="shared" si="47"/>
        <v>-93.043972615392704</v>
      </c>
      <c r="AE196" s="106">
        <v>-92.64821895842033</v>
      </c>
      <c r="AF196" s="106">
        <f t="shared" si="48"/>
        <v>-0.3957536569723743</v>
      </c>
      <c r="AG196" s="59"/>
    </row>
    <row r="197" spans="2:33" x14ac:dyDescent="0.35">
      <c r="B197">
        <v>983</v>
      </c>
      <c r="C197" s="17">
        <v>7</v>
      </c>
      <c r="D197" s="22" t="s">
        <v>192</v>
      </c>
      <c r="E197" s="90">
        <v>75.897781633089437</v>
      </c>
      <c r="F197" s="90">
        <f>INDEX('Revised 2019 Lockdown'!H$5:H$257,MATCH(B197,'Revised 2019 Lockdown'!B$5:B$257,0))</f>
        <v>75.897781633089437</v>
      </c>
      <c r="G197" s="90">
        <f t="shared" si="41"/>
        <v>0</v>
      </c>
      <c r="H197" s="5">
        <v>32152.06</v>
      </c>
      <c r="I197" s="5">
        <f>INDEX('Revised 2019 Lockdown'!E$5:E$257,MATCH(B197,'Revised 2019 Lockdown'!B$5:B$257,0))</f>
        <v>32152.06</v>
      </c>
      <c r="J197" s="5">
        <f t="shared" si="42"/>
        <v>0</v>
      </c>
      <c r="K197" s="5">
        <v>0</v>
      </c>
      <c r="L197" s="5">
        <f>INDEX('Revised 2019 Lockdown'!F$5:F$257,MATCH(B197,'Revised 2019 Lockdown'!B$5:B$257,0))</f>
        <v>0</v>
      </c>
      <c r="M197" s="5">
        <f t="shared" si="43"/>
        <v>0</v>
      </c>
      <c r="N197" s="5">
        <v>32152.06</v>
      </c>
      <c r="O197" s="60">
        <f>INDEX('Revised 2019 Lockdown'!G$5:G$257,MATCH(B197,'Revised 2019 Lockdown'!B$5:B$257,0))</f>
        <v>32152.06</v>
      </c>
      <c r="P197" s="5">
        <f t="shared" si="44"/>
        <v>0</v>
      </c>
      <c r="Q197" s="58">
        <f t="shared" si="45"/>
        <v>423.62318513381354</v>
      </c>
      <c r="R197" s="6">
        <f t="shared" si="33"/>
        <v>423.62318513381354</v>
      </c>
      <c r="S197" s="5">
        <f t="shared" si="46"/>
        <v>32152.059999999998</v>
      </c>
      <c r="T197" s="82">
        <v>0.51736111111111116</v>
      </c>
      <c r="U197" s="60">
        <f t="shared" si="34"/>
        <v>7414.9473241611122</v>
      </c>
      <c r="V197" s="60">
        <f t="shared" si="35"/>
        <v>5425.2997999920954</v>
      </c>
      <c r="W197" s="60">
        <f t="shared" si="36"/>
        <v>1150.861615937506</v>
      </c>
      <c r="X197" s="60">
        <f t="shared" si="37"/>
        <v>389.2765724023983</v>
      </c>
      <c r="Y197" s="60">
        <f t="shared" si="38"/>
        <v>14380.38531249311</v>
      </c>
      <c r="Z197" s="63">
        <f t="shared" si="39"/>
        <v>0.44726170928062187</v>
      </c>
      <c r="AA197" s="59">
        <f t="shared" si="40"/>
        <v>14380.836035659033</v>
      </c>
      <c r="AB197" s="60"/>
      <c r="AC197" s="59">
        <v>14414.647316723869</v>
      </c>
      <c r="AD197" s="106">
        <f t="shared" si="47"/>
        <v>-33.811281064836294</v>
      </c>
      <c r="AE197" s="106">
        <v>-33.665983706832776</v>
      </c>
      <c r="AF197" s="106">
        <f t="shared" si="48"/>
        <v>-0.14529735800351773</v>
      </c>
      <c r="AG197" s="59"/>
    </row>
    <row r="198" spans="2:33" x14ac:dyDescent="0.35">
      <c r="B198">
        <v>984</v>
      </c>
      <c r="C198" s="17">
        <v>7</v>
      </c>
      <c r="D198" s="22" t="s">
        <v>193</v>
      </c>
      <c r="E198" s="90">
        <v>22.261985542455641</v>
      </c>
      <c r="F198" s="90">
        <f>INDEX('Revised 2019 Lockdown'!H$5:H$257,MATCH(B198,'Revised 2019 Lockdown'!B$5:B$257,0))</f>
        <v>22.261985542455641</v>
      </c>
      <c r="G198" s="90">
        <f t="shared" si="41"/>
        <v>0</v>
      </c>
      <c r="H198" s="5">
        <v>9622.4</v>
      </c>
      <c r="I198" s="5">
        <f>INDEX('Revised 2019 Lockdown'!E$5:E$257,MATCH(B198,'Revised 2019 Lockdown'!B$5:B$257,0))</f>
        <v>9622.4</v>
      </c>
      <c r="J198" s="5">
        <f t="shared" si="42"/>
        <v>0</v>
      </c>
      <c r="K198" s="5">
        <v>2612</v>
      </c>
      <c r="L198" s="5">
        <f>INDEX('Revised 2019 Lockdown'!F$5:F$257,MATCH(B198,'Revised 2019 Lockdown'!B$5:B$257,0))</f>
        <v>2612</v>
      </c>
      <c r="M198" s="5">
        <f t="shared" si="43"/>
        <v>0</v>
      </c>
      <c r="N198" s="5">
        <v>7010.4</v>
      </c>
      <c r="O198" s="60">
        <f>INDEX('Revised 2019 Lockdown'!G$5:G$257,MATCH(B198,'Revised 2019 Lockdown'!B$5:B$257,0))</f>
        <v>7010.4</v>
      </c>
      <c r="P198" s="5">
        <f t="shared" si="44"/>
        <v>0</v>
      </c>
      <c r="Q198" s="58">
        <f t="shared" si="45"/>
        <v>314.90452577244406</v>
      </c>
      <c r="R198" s="6">
        <f t="shared" si="33"/>
        <v>314.90452577244406</v>
      </c>
      <c r="S198" s="5">
        <f t="shared" si="46"/>
        <v>7010.4</v>
      </c>
      <c r="T198" s="82">
        <v>0.7685185185185186</v>
      </c>
      <c r="U198" s="60">
        <f t="shared" si="34"/>
        <v>1616.7470053644793</v>
      </c>
      <c r="V198" s="60">
        <f t="shared" si="35"/>
        <v>1591.3237925027245</v>
      </c>
      <c r="W198" s="60">
        <f t="shared" si="36"/>
        <v>372.75000401458828</v>
      </c>
      <c r="X198" s="60">
        <f t="shared" si="37"/>
        <v>84.877438122775743</v>
      </c>
      <c r="Y198" s="60">
        <f t="shared" si="38"/>
        <v>3665.6982400045677</v>
      </c>
      <c r="Z198" s="63">
        <f t="shared" si="39"/>
        <v>0.52289430560375549</v>
      </c>
      <c r="AA198" s="59">
        <f t="shared" si="40"/>
        <v>3665.8131336656306</v>
      </c>
      <c r="AB198" s="60"/>
      <c r="AC198" s="59">
        <v>3674.0733067746673</v>
      </c>
      <c r="AD198" s="106">
        <f t="shared" si="47"/>
        <v>-8.2601731090367139</v>
      </c>
      <c r="AE198" s="106">
        <v>-8.2271331458027817</v>
      </c>
      <c r="AF198" s="106">
        <f t="shared" si="48"/>
        <v>-3.3039963233932212E-2</v>
      </c>
      <c r="AG198" s="59"/>
    </row>
    <row r="199" spans="2:33" x14ac:dyDescent="0.35">
      <c r="B199">
        <v>188</v>
      </c>
      <c r="C199" s="17">
        <v>8</v>
      </c>
      <c r="D199" s="22" t="s">
        <v>194</v>
      </c>
      <c r="E199" s="90">
        <v>151.82</v>
      </c>
      <c r="F199" s="90">
        <f>INDEX('Revised 2019 Lockdown'!H$5:H$257,MATCH(B199,'Revised 2019 Lockdown'!B$5:B$257,0))</f>
        <v>151.82</v>
      </c>
      <c r="G199" s="90">
        <f t="shared" si="41"/>
        <v>0</v>
      </c>
      <c r="H199" s="5">
        <v>136694.57999999999</v>
      </c>
      <c r="I199" s="5">
        <f>INDEX('Revised 2019 Lockdown'!E$5:E$257,MATCH(B199,'Revised 2019 Lockdown'!B$5:B$257,0))</f>
        <v>136694.57999999999</v>
      </c>
      <c r="J199" s="5">
        <f t="shared" si="42"/>
        <v>0</v>
      </c>
      <c r="K199" s="5">
        <v>8053</v>
      </c>
      <c r="L199" s="5">
        <f>INDEX('Revised 2019 Lockdown'!F$5:F$257,MATCH(B199,'Revised 2019 Lockdown'!B$5:B$257,0))</f>
        <v>8053</v>
      </c>
      <c r="M199" s="5">
        <f t="shared" si="43"/>
        <v>0</v>
      </c>
      <c r="N199" s="5">
        <v>128641.57999999999</v>
      </c>
      <c r="O199" s="60">
        <f>INDEX('Revised 2019 Lockdown'!G$5:G$257,MATCH(B199,'Revised 2019 Lockdown'!B$5:B$257,0))</f>
        <v>128641.57999999999</v>
      </c>
      <c r="P199" s="5">
        <f t="shared" si="44"/>
        <v>0</v>
      </c>
      <c r="Q199" s="58">
        <f t="shared" si="45"/>
        <v>847.32960084310366</v>
      </c>
      <c r="R199" s="6">
        <f t="shared" si="33"/>
        <v>847.32960084310366</v>
      </c>
      <c r="S199" s="5">
        <f t="shared" si="46"/>
        <v>128641.57999999999</v>
      </c>
      <c r="T199" s="82">
        <v>0.7152777777777779</v>
      </c>
      <c r="U199" s="60">
        <f t="shared" si="34"/>
        <v>29667.478208141489</v>
      </c>
      <c r="V199" s="60">
        <f t="shared" si="35"/>
        <v>10852.346378404582</v>
      </c>
      <c r="W199" s="60">
        <f t="shared" si="36"/>
        <v>6366.1463654970285</v>
      </c>
      <c r="X199" s="60">
        <f t="shared" si="37"/>
        <v>1557.5099489995014</v>
      </c>
      <c r="Y199" s="60">
        <f t="shared" si="38"/>
        <v>48443.480901042603</v>
      </c>
      <c r="Z199" s="63">
        <f t="shared" si="39"/>
        <v>0.37657716036325584</v>
      </c>
      <c r="AA199" s="59">
        <f t="shared" si="40"/>
        <v>48444.999260850462</v>
      </c>
      <c r="AB199" s="60"/>
      <c r="AC199" s="59">
        <v>48571.490724193471</v>
      </c>
      <c r="AD199" s="106">
        <f t="shared" si="47"/>
        <v>-126.49146334300895</v>
      </c>
      <c r="AE199" s="106">
        <v>-125.89261833065393</v>
      </c>
      <c r="AF199" s="106">
        <f t="shared" si="48"/>
        <v>-0.59884501235501375</v>
      </c>
      <c r="AG199" s="59"/>
    </row>
    <row r="200" spans="2:33" x14ac:dyDescent="0.35">
      <c r="B200">
        <v>232</v>
      </c>
      <c r="C200" s="17">
        <v>8</v>
      </c>
      <c r="D200" s="22" t="s">
        <v>195</v>
      </c>
      <c r="E200" s="90">
        <v>99.943034780278666</v>
      </c>
      <c r="F200" s="90">
        <f>INDEX('Revised 2019 Lockdown'!H$5:H$257,MATCH(B200,'Revised 2019 Lockdown'!B$5:B$257,0))</f>
        <v>99.943034780278666</v>
      </c>
      <c r="G200" s="90">
        <f t="shared" si="41"/>
        <v>0</v>
      </c>
      <c r="H200" s="5">
        <v>120790.9</v>
      </c>
      <c r="I200" s="5">
        <f>INDEX('Revised 2019 Lockdown'!E$5:E$257,MATCH(B200,'Revised 2019 Lockdown'!B$5:B$257,0))</f>
        <v>120790.9</v>
      </c>
      <c r="J200" s="5">
        <f t="shared" si="42"/>
        <v>0</v>
      </c>
      <c r="K200" s="5">
        <v>0</v>
      </c>
      <c r="L200" s="5">
        <f>INDEX('Revised 2019 Lockdown'!F$5:F$257,MATCH(B200,'Revised 2019 Lockdown'!B$5:B$257,0))</f>
        <v>0</v>
      </c>
      <c r="M200" s="5">
        <f t="shared" si="43"/>
        <v>0</v>
      </c>
      <c r="N200" s="5">
        <v>120790.9</v>
      </c>
      <c r="O200" s="60">
        <f>INDEX('Revised 2019 Lockdown'!G$5:G$257,MATCH(B200,'Revised 2019 Lockdown'!B$5:B$257,0))</f>
        <v>120790.9</v>
      </c>
      <c r="P200" s="5">
        <f t="shared" si="44"/>
        <v>0</v>
      </c>
      <c r="Q200" s="58">
        <f t="shared" si="45"/>
        <v>1208.5974802101482</v>
      </c>
      <c r="R200" s="6">
        <f t="shared" si="33"/>
        <v>1208.5974802101482</v>
      </c>
      <c r="S200" s="5">
        <f t="shared" si="46"/>
        <v>120790.9</v>
      </c>
      <c r="T200" s="82">
        <v>0.27777777777777779</v>
      </c>
      <c r="U200" s="60">
        <f t="shared" si="34"/>
        <v>27856.944803474882</v>
      </c>
      <c r="V200" s="60">
        <f t="shared" si="35"/>
        <v>7144.0945299994746</v>
      </c>
      <c r="W200" s="60">
        <f t="shared" si="36"/>
        <v>2321.4120669562399</v>
      </c>
      <c r="X200" s="60">
        <f t="shared" si="37"/>
        <v>1462.4589382266909</v>
      </c>
      <c r="Y200" s="60">
        <f t="shared" si="38"/>
        <v>38784.91033865729</v>
      </c>
      <c r="Z200" s="63">
        <f t="shared" si="39"/>
        <v>0.3210913267361804</v>
      </c>
      <c r="AA200" s="59">
        <f t="shared" si="40"/>
        <v>38786.125970728193</v>
      </c>
      <c r="AB200" s="60"/>
      <c r="AC200" s="59">
        <v>38890.133598883505</v>
      </c>
      <c r="AD200" s="106">
        <f t="shared" si="47"/>
        <v>-104.00762815531198</v>
      </c>
      <c r="AE200" s="106">
        <v>-103.5032615672535</v>
      </c>
      <c r="AF200" s="106">
        <f t="shared" si="48"/>
        <v>-0.50436658805847401</v>
      </c>
      <c r="AG200" s="59"/>
    </row>
    <row r="201" spans="2:33" x14ac:dyDescent="0.35">
      <c r="B201">
        <v>245</v>
      </c>
      <c r="C201" s="17">
        <v>8</v>
      </c>
      <c r="D201" s="22" t="s">
        <v>196</v>
      </c>
      <c r="E201" s="90">
        <v>237.74999999999997</v>
      </c>
      <c r="F201" s="90">
        <f>INDEX('Revised 2019 Lockdown'!H$5:H$257,MATCH(B201,'Revised 2019 Lockdown'!B$5:B$257,0))</f>
        <v>237.74999999999997</v>
      </c>
      <c r="G201" s="90">
        <f t="shared" si="41"/>
        <v>0</v>
      </c>
      <c r="H201" s="5">
        <v>631790.16</v>
      </c>
      <c r="I201" s="5">
        <f>INDEX('Revised 2019 Lockdown'!E$5:E$257,MATCH(B201,'Revised 2019 Lockdown'!B$5:B$257,0))</f>
        <v>631790.16</v>
      </c>
      <c r="J201" s="5">
        <f t="shared" si="42"/>
        <v>0</v>
      </c>
      <c r="K201" s="5">
        <v>0</v>
      </c>
      <c r="L201" s="5">
        <f>INDEX('Revised 2019 Lockdown'!F$5:F$257,MATCH(B201,'Revised 2019 Lockdown'!B$5:B$257,0))</f>
        <v>0</v>
      </c>
      <c r="M201" s="5">
        <f t="shared" si="43"/>
        <v>0</v>
      </c>
      <c r="N201" s="5">
        <v>631790.16</v>
      </c>
      <c r="O201" s="60">
        <f>INDEX('Revised 2019 Lockdown'!G$5:G$257,MATCH(B201,'Revised 2019 Lockdown'!B$5:B$257,0))</f>
        <v>631790.16</v>
      </c>
      <c r="P201" s="5">
        <f t="shared" si="44"/>
        <v>0</v>
      </c>
      <c r="Q201" s="58">
        <f t="shared" si="45"/>
        <v>2657.3718611987388</v>
      </c>
      <c r="R201" s="6">
        <f t="shared" si="33"/>
        <v>1830.1017274062599</v>
      </c>
      <c r="S201" s="5">
        <f t="shared" si="46"/>
        <v>435106.68569083826</v>
      </c>
      <c r="T201" s="82">
        <v>0.6435185185185186</v>
      </c>
      <c r="U201" s="60">
        <f t="shared" si="34"/>
        <v>100344.8349744275</v>
      </c>
      <c r="V201" s="60">
        <f t="shared" si="35"/>
        <v>16994.765850781776</v>
      </c>
      <c r="W201" s="60">
        <f t="shared" si="36"/>
        <v>19372.127863118647</v>
      </c>
      <c r="X201" s="60">
        <f t="shared" si="37"/>
        <v>5267.9933800539429</v>
      </c>
      <c r="Y201" s="60">
        <f t="shared" si="38"/>
        <v>141979.72206838187</v>
      </c>
      <c r="Z201" s="63">
        <f t="shared" si="39"/>
        <v>0.32631013665752884</v>
      </c>
      <c r="AA201" s="59">
        <f t="shared" si="40"/>
        <v>141984.17212646006</v>
      </c>
      <c r="AB201" s="60"/>
      <c r="AC201" s="59">
        <v>142423.29429809953</v>
      </c>
      <c r="AD201" s="106">
        <f t="shared" si="47"/>
        <v>-439.1221716394648</v>
      </c>
      <c r="AE201" s="106">
        <v>-437.13840512352181</v>
      </c>
      <c r="AF201" s="106">
        <f t="shared" si="48"/>
        <v>-1.9837665159429889</v>
      </c>
      <c r="AG201" s="59"/>
    </row>
    <row r="202" spans="2:33" x14ac:dyDescent="0.35">
      <c r="B202">
        <v>372</v>
      </c>
      <c r="C202" s="17">
        <v>8</v>
      </c>
      <c r="D202" s="22" t="s">
        <v>197</v>
      </c>
      <c r="E202" s="90">
        <v>124.59</v>
      </c>
      <c r="F202" s="90">
        <f>INDEX('Revised 2019 Lockdown'!H$5:H$257,MATCH(B202,'Revised 2019 Lockdown'!B$5:B$257,0))</f>
        <v>124.59</v>
      </c>
      <c r="G202" s="90">
        <f t="shared" si="41"/>
        <v>0</v>
      </c>
      <c r="H202" s="5">
        <v>86253.52</v>
      </c>
      <c r="I202" s="5">
        <f>INDEX('Revised 2019 Lockdown'!E$5:E$257,MATCH(B202,'Revised 2019 Lockdown'!B$5:B$257,0))</f>
        <v>86253.52</v>
      </c>
      <c r="J202" s="5">
        <f t="shared" si="42"/>
        <v>0</v>
      </c>
      <c r="K202" s="5">
        <v>0</v>
      </c>
      <c r="L202" s="5">
        <f>INDEX('Revised 2019 Lockdown'!F$5:F$257,MATCH(B202,'Revised 2019 Lockdown'!B$5:B$257,0))</f>
        <v>0</v>
      </c>
      <c r="M202" s="5">
        <f t="shared" si="43"/>
        <v>0</v>
      </c>
      <c r="N202" s="5">
        <v>86253.52</v>
      </c>
      <c r="O202" s="60">
        <f>INDEX('Revised 2019 Lockdown'!G$5:G$257,MATCH(B202,'Revised 2019 Lockdown'!B$5:B$257,0))</f>
        <v>86253.52</v>
      </c>
      <c r="P202" s="5">
        <f t="shared" si="44"/>
        <v>0</v>
      </c>
      <c r="Q202" s="58">
        <f t="shared" si="45"/>
        <v>692.29890039328995</v>
      </c>
      <c r="R202" s="6">
        <f t="shared" si="33"/>
        <v>692.29890039328995</v>
      </c>
      <c r="S202" s="5">
        <f t="shared" si="46"/>
        <v>86253.52</v>
      </c>
      <c r="T202" s="82">
        <v>0.47222222222222221</v>
      </c>
      <c r="U202" s="60">
        <f t="shared" si="34"/>
        <v>19891.892069232177</v>
      </c>
      <c r="V202" s="60">
        <f t="shared" si="35"/>
        <v>8905.900640794538</v>
      </c>
      <c r="W202" s="60">
        <f t="shared" si="36"/>
        <v>2818.0180431412246</v>
      </c>
      <c r="X202" s="60">
        <f t="shared" si="37"/>
        <v>1044.3024373319072</v>
      </c>
      <c r="Y202" s="60">
        <f t="shared" si="38"/>
        <v>32660.113190499847</v>
      </c>
      <c r="Z202" s="63">
        <f t="shared" si="39"/>
        <v>0.37865252560706908</v>
      </c>
      <c r="AA202" s="59">
        <f t="shared" si="40"/>
        <v>32661.136853586526</v>
      </c>
      <c r="AB202" s="60"/>
      <c r="AC202" s="59">
        <v>32743.753897093575</v>
      </c>
      <c r="AD202" s="106">
        <f t="shared" si="47"/>
        <v>-82.617043507048948</v>
      </c>
      <c r="AE202" s="106">
        <v>-82.238513681997574</v>
      </c>
      <c r="AF202" s="106">
        <f t="shared" si="48"/>
        <v>-0.37852982505137334</v>
      </c>
      <c r="AG202" s="59"/>
    </row>
    <row r="203" spans="2:33" x14ac:dyDescent="0.35">
      <c r="B203">
        <v>375</v>
      </c>
      <c r="C203" s="17">
        <v>8</v>
      </c>
      <c r="D203" s="22" t="s">
        <v>198</v>
      </c>
      <c r="E203" s="90">
        <v>162.62</v>
      </c>
      <c r="F203" s="90">
        <f>INDEX('Revised 2019 Lockdown'!H$5:H$257,MATCH(B203,'Revised 2019 Lockdown'!B$5:B$257,0))</f>
        <v>162.62</v>
      </c>
      <c r="G203" s="90">
        <f t="shared" si="41"/>
        <v>0</v>
      </c>
      <c r="H203" s="5">
        <v>231561.51</v>
      </c>
      <c r="I203" s="5">
        <f>INDEX('Revised 2019 Lockdown'!E$5:E$257,MATCH(B203,'Revised 2019 Lockdown'!B$5:B$257,0))</f>
        <v>231561.51</v>
      </c>
      <c r="J203" s="5">
        <f t="shared" si="42"/>
        <v>0</v>
      </c>
      <c r="K203" s="5">
        <v>0</v>
      </c>
      <c r="L203" s="5">
        <f>INDEX('Revised 2019 Lockdown'!F$5:F$257,MATCH(B203,'Revised 2019 Lockdown'!B$5:B$257,0))</f>
        <v>0</v>
      </c>
      <c r="M203" s="5">
        <f t="shared" si="43"/>
        <v>0</v>
      </c>
      <c r="N203" s="5">
        <v>231561.51</v>
      </c>
      <c r="O203" s="60">
        <f>INDEX('Revised 2019 Lockdown'!G$5:G$257,MATCH(B203,'Revised 2019 Lockdown'!B$5:B$257,0))</f>
        <v>231561.51</v>
      </c>
      <c r="P203" s="5">
        <f t="shared" si="44"/>
        <v>0</v>
      </c>
      <c r="Q203" s="58">
        <f t="shared" si="45"/>
        <v>1423.9423810109458</v>
      </c>
      <c r="R203" s="6">
        <f t="shared" si="33"/>
        <v>1423.9423810109458</v>
      </c>
      <c r="S203" s="5">
        <f t="shared" si="46"/>
        <v>231561.51</v>
      </c>
      <c r="T203" s="82">
        <v>0.36111111111111116</v>
      </c>
      <c r="U203" s="60">
        <f t="shared" si="34"/>
        <v>53402.998095711657</v>
      </c>
      <c r="V203" s="60">
        <f t="shared" si="35"/>
        <v>11624.348360269749</v>
      </c>
      <c r="W203" s="60">
        <f t="shared" si="36"/>
        <v>5785.3247937020969</v>
      </c>
      <c r="X203" s="60">
        <f t="shared" si="37"/>
        <v>2803.5986158623646</v>
      </c>
      <c r="Y203" s="60">
        <f t="shared" si="38"/>
        <v>73616.269865545866</v>
      </c>
      <c r="Z203" s="63">
        <f t="shared" si="39"/>
        <v>0.3179123761351611</v>
      </c>
      <c r="AA203" s="59">
        <f t="shared" si="40"/>
        <v>73618.577213888493</v>
      </c>
      <c r="AB203" s="60"/>
      <c r="AC203" s="59">
        <v>73819.247341823619</v>
      </c>
      <c r="AD203" s="106">
        <f t="shared" si="47"/>
        <v>-200.67012793512549</v>
      </c>
      <c r="AE203" s="106">
        <v>-199.68206897268828</v>
      </c>
      <c r="AF203" s="106">
        <f t="shared" si="48"/>
        <v>-0.98805896243720781</v>
      </c>
      <c r="AG203" s="59"/>
    </row>
    <row r="204" spans="2:33" x14ac:dyDescent="0.35">
      <c r="B204">
        <v>404</v>
      </c>
      <c r="C204" s="17">
        <v>8</v>
      </c>
      <c r="D204" s="22" t="s">
        <v>199</v>
      </c>
      <c r="E204" s="90">
        <v>459.07044990472792</v>
      </c>
      <c r="F204" s="90">
        <f>INDEX('Revised 2019 Lockdown'!H$5:H$257,MATCH(B204,'Revised 2019 Lockdown'!B$5:B$257,0))</f>
        <v>459.07044990472792</v>
      </c>
      <c r="G204" s="90">
        <f t="shared" si="41"/>
        <v>0</v>
      </c>
      <c r="H204" s="5">
        <v>301241.45</v>
      </c>
      <c r="I204" s="5">
        <f>INDEX('Revised 2019 Lockdown'!E$5:E$257,MATCH(B204,'Revised 2019 Lockdown'!B$5:B$257,0))</f>
        <v>301241.45</v>
      </c>
      <c r="J204" s="5">
        <f t="shared" si="42"/>
        <v>0</v>
      </c>
      <c r="K204" s="5">
        <v>16226.76</v>
      </c>
      <c r="L204" s="5">
        <f>INDEX('Revised 2019 Lockdown'!F$5:F$257,MATCH(B204,'Revised 2019 Lockdown'!B$5:B$257,0))</f>
        <v>16226.76</v>
      </c>
      <c r="M204" s="5">
        <f t="shared" si="43"/>
        <v>0</v>
      </c>
      <c r="N204" s="5">
        <v>285014.69</v>
      </c>
      <c r="O204" s="60">
        <f>INDEX('Revised 2019 Lockdown'!G$5:G$257,MATCH(B204,'Revised 2019 Lockdown'!B$5:B$257,0))</f>
        <v>285014.69</v>
      </c>
      <c r="P204" s="5">
        <f t="shared" si="44"/>
        <v>0</v>
      </c>
      <c r="Q204" s="58">
        <f t="shared" si="45"/>
        <v>620.85174521503143</v>
      </c>
      <c r="R204" s="6">
        <f t="shared" si="33"/>
        <v>620.85174521503143</v>
      </c>
      <c r="S204" s="5">
        <f t="shared" si="46"/>
        <v>285014.69</v>
      </c>
      <c r="T204" s="82">
        <v>0.35416666666666663</v>
      </c>
      <c r="U204" s="60">
        <f t="shared" si="34"/>
        <v>65730.435715848667</v>
      </c>
      <c r="V204" s="60">
        <f t="shared" si="35"/>
        <v>32815.120105757713</v>
      </c>
      <c r="W204" s="60">
        <f t="shared" si="36"/>
        <v>6983.8587948089189</v>
      </c>
      <c r="X204" s="60">
        <f t="shared" si="37"/>
        <v>3450.7755213050768</v>
      </c>
      <c r="Y204" s="60">
        <f t="shared" si="38"/>
        <v>108980.19013772038</v>
      </c>
      <c r="Z204" s="63">
        <f t="shared" si="39"/>
        <v>0.38236692339514283</v>
      </c>
      <c r="AA204" s="59">
        <f t="shared" si="40"/>
        <v>108983.60589433985</v>
      </c>
      <c r="AB204" s="60"/>
      <c r="AC204" s="59">
        <v>109254.07705257759</v>
      </c>
      <c r="AD204" s="106">
        <f t="shared" si="47"/>
        <v>-270.47115823773493</v>
      </c>
      <c r="AE204" s="106">
        <v>-269.2572564050206</v>
      </c>
      <c r="AF204" s="106">
        <f t="shared" si="48"/>
        <v>-1.2139018327143276</v>
      </c>
      <c r="AG204" s="59"/>
    </row>
    <row r="205" spans="2:33" x14ac:dyDescent="0.35">
      <c r="B205">
        <v>413</v>
      </c>
      <c r="C205" s="17">
        <v>8</v>
      </c>
      <c r="D205" s="22" t="s">
        <v>200</v>
      </c>
      <c r="E205" s="90">
        <v>76.8</v>
      </c>
      <c r="F205" s="90">
        <f>INDEX('Revised 2019 Lockdown'!H$5:H$257,MATCH(B205,'Revised 2019 Lockdown'!B$5:B$257,0))</f>
        <v>76.8</v>
      </c>
      <c r="G205" s="90">
        <f t="shared" si="41"/>
        <v>0</v>
      </c>
      <c r="H205" s="5">
        <v>92788.2</v>
      </c>
      <c r="I205" s="5">
        <f>INDEX('Revised 2019 Lockdown'!E$5:E$257,MATCH(B205,'Revised 2019 Lockdown'!B$5:B$257,0))</f>
        <v>92788.2</v>
      </c>
      <c r="J205" s="5">
        <f t="shared" si="42"/>
        <v>0</v>
      </c>
      <c r="K205" s="5">
        <v>110</v>
      </c>
      <c r="L205" s="5">
        <f>INDEX('Revised 2019 Lockdown'!F$5:F$257,MATCH(B205,'Revised 2019 Lockdown'!B$5:B$257,0))</f>
        <v>110</v>
      </c>
      <c r="M205" s="5">
        <f t="shared" si="43"/>
        <v>0</v>
      </c>
      <c r="N205" s="5">
        <v>92678.2</v>
      </c>
      <c r="O205" s="60">
        <f>INDEX('Revised 2019 Lockdown'!G$5:G$257,MATCH(B205,'Revised 2019 Lockdown'!B$5:B$257,0))</f>
        <v>92678.2</v>
      </c>
      <c r="P205" s="5">
        <f t="shared" si="44"/>
        <v>0</v>
      </c>
      <c r="Q205" s="58">
        <f t="shared" si="45"/>
        <v>1206.7473958333333</v>
      </c>
      <c r="R205" s="6">
        <f t="shared" si="33"/>
        <v>1206.7473958333333</v>
      </c>
      <c r="S205" s="5">
        <f t="shared" si="46"/>
        <v>92678.2</v>
      </c>
      <c r="T205" s="82">
        <v>0.38425925925925924</v>
      </c>
      <c r="U205" s="60">
        <f t="shared" si="34"/>
        <v>21373.559613227535</v>
      </c>
      <c r="V205" s="60">
        <f t="shared" si="35"/>
        <v>5489.7918710411786</v>
      </c>
      <c r="W205" s="60">
        <f t="shared" si="36"/>
        <v>2463.8964554137292</v>
      </c>
      <c r="X205" s="60">
        <f t="shared" si="37"/>
        <v>1122.0883524235758</v>
      </c>
      <c r="Y205" s="60">
        <f t="shared" si="38"/>
        <v>30449.336292106018</v>
      </c>
      <c r="Z205" s="63">
        <f t="shared" si="39"/>
        <v>0.32854906862785443</v>
      </c>
      <c r="AA205" s="59">
        <f t="shared" si="40"/>
        <v>30450.290663004682</v>
      </c>
      <c r="AB205" s="60"/>
      <c r="AC205" s="59">
        <v>30532.125599027448</v>
      </c>
      <c r="AD205" s="106">
        <f t="shared" si="47"/>
        <v>-81.83493602276576</v>
      </c>
      <c r="AE205" s="106">
        <v>-81.437134571639035</v>
      </c>
      <c r="AF205" s="106">
        <f t="shared" si="48"/>
        <v>-0.39780145112672471</v>
      </c>
      <c r="AG205" s="59"/>
    </row>
    <row r="206" spans="2:33" x14ac:dyDescent="0.35">
      <c r="B206">
        <v>537</v>
      </c>
      <c r="C206" s="17">
        <v>8</v>
      </c>
      <c r="D206" s="22" t="s">
        <v>201</v>
      </c>
      <c r="E206" s="90">
        <v>9.7918986885088461</v>
      </c>
      <c r="F206" s="90">
        <f>INDEX('Revised 2019 Lockdown'!H$5:H$257,MATCH(B206,'Revised 2019 Lockdown'!B$5:B$257,0))</f>
        <v>9.7918986885088461</v>
      </c>
      <c r="G206" s="90">
        <f t="shared" si="41"/>
        <v>0</v>
      </c>
      <c r="H206" s="5">
        <v>8112.34</v>
      </c>
      <c r="I206" s="5">
        <f>INDEX('Revised 2019 Lockdown'!E$5:E$257,MATCH(B206,'Revised 2019 Lockdown'!B$5:B$257,0))</f>
        <v>8112.34</v>
      </c>
      <c r="J206" s="5">
        <f t="shared" si="42"/>
        <v>0</v>
      </c>
      <c r="K206" s="5">
        <v>0</v>
      </c>
      <c r="L206" s="5">
        <f>INDEX('Revised 2019 Lockdown'!F$5:F$257,MATCH(B206,'Revised 2019 Lockdown'!B$5:B$257,0))</f>
        <v>0</v>
      </c>
      <c r="M206" s="5">
        <f t="shared" si="43"/>
        <v>0</v>
      </c>
      <c r="N206" s="5">
        <v>8112.34</v>
      </c>
      <c r="O206" s="60">
        <f>INDEX('Revised 2019 Lockdown'!G$5:G$257,MATCH(B206,'Revised 2019 Lockdown'!B$5:B$257,0))</f>
        <v>8112.34</v>
      </c>
      <c r="P206" s="5">
        <f t="shared" si="44"/>
        <v>0</v>
      </c>
      <c r="Q206" s="58">
        <f t="shared" si="45"/>
        <v>828.47466646281077</v>
      </c>
      <c r="R206" s="6">
        <f t="shared" si="33"/>
        <v>828.47466646281077</v>
      </c>
      <c r="S206" s="5">
        <f t="shared" si="46"/>
        <v>8112.34</v>
      </c>
      <c r="T206" s="82">
        <v>0.22222222222222221</v>
      </c>
      <c r="U206" s="60">
        <f t="shared" si="34"/>
        <v>1870.8777532663589</v>
      </c>
      <c r="V206" s="60">
        <f t="shared" si="35"/>
        <v>699.94122164368036</v>
      </c>
      <c r="W206" s="60">
        <f t="shared" si="36"/>
        <v>124.72518355109058</v>
      </c>
      <c r="X206" s="60">
        <f t="shared" si="37"/>
        <v>98.219022649337944</v>
      </c>
      <c r="Y206" s="60">
        <f t="shared" si="38"/>
        <v>2793.7631811104679</v>
      </c>
      <c r="Z206" s="63">
        <f t="shared" si="39"/>
        <v>0.34438437998289861</v>
      </c>
      <c r="AA206" s="59">
        <f t="shared" si="40"/>
        <v>2793.8507457868286</v>
      </c>
      <c r="AB206" s="60"/>
      <c r="AC206" s="59">
        <v>2801.0276290902202</v>
      </c>
      <c r="AD206" s="106">
        <f t="shared" si="47"/>
        <v>-7.1768833033916053</v>
      </c>
      <c r="AE206" s="106">
        <v>-7.1431679099337089</v>
      </c>
      <c r="AF206" s="106">
        <f t="shared" si="48"/>
        <v>-3.3715393457896425E-2</v>
      </c>
      <c r="AG206" s="59"/>
    </row>
    <row r="207" spans="2:33" x14ac:dyDescent="0.35">
      <c r="B207">
        <v>545</v>
      </c>
      <c r="C207" s="17">
        <v>8</v>
      </c>
      <c r="D207" s="22" t="s">
        <v>202</v>
      </c>
      <c r="E207" s="90">
        <v>14.800550827676549</v>
      </c>
      <c r="F207" s="90">
        <f>INDEX('Revised 2019 Lockdown'!H$5:H$257,MATCH(B207,'Revised 2019 Lockdown'!B$5:B$257,0))</f>
        <v>14.800550827676549</v>
      </c>
      <c r="G207" s="90">
        <f t="shared" si="41"/>
        <v>0</v>
      </c>
      <c r="H207" s="5">
        <v>8088.84</v>
      </c>
      <c r="I207" s="5">
        <f>INDEX('Revised 2019 Lockdown'!E$5:E$257,MATCH(B207,'Revised 2019 Lockdown'!B$5:B$257,0))</f>
        <v>8088.84</v>
      </c>
      <c r="J207" s="5">
        <f t="shared" si="42"/>
        <v>0</v>
      </c>
      <c r="K207" s="5">
        <v>0</v>
      </c>
      <c r="L207" s="5">
        <f>INDEX('Revised 2019 Lockdown'!F$5:F$257,MATCH(B207,'Revised 2019 Lockdown'!B$5:B$257,0))</f>
        <v>0</v>
      </c>
      <c r="M207" s="5">
        <f t="shared" si="43"/>
        <v>0</v>
      </c>
      <c r="N207" s="5">
        <v>8088.84</v>
      </c>
      <c r="O207" s="60">
        <f>INDEX('Revised 2019 Lockdown'!G$5:G$257,MATCH(B207,'Revised 2019 Lockdown'!B$5:B$257,0))</f>
        <v>8088.84</v>
      </c>
      <c r="P207" s="5">
        <f t="shared" si="44"/>
        <v>0</v>
      </c>
      <c r="Q207" s="58">
        <f t="shared" si="45"/>
        <v>546.52290270671085</v>
      </c>
      <c r="R207" s="6">
        <f t="shared" si="33"/>
        <v>546.52290270671085</v>
      </c>
      <c r="S207" s="5">
        <f t="shared" si="46"/>
        <v>8088.8399999999992</v>
      </c>
      <c r="T207" s="82">
        <v>0.56712962962962965</v>
      </c>
      <c r="U207" s="60">
        <f t="shared" si="34"/>
        <v>1865.4581545806823</v>
      </c>
      <c r="V207" s="60">
        <f t="shared" si="35"/>
        <v>1057.9680158946683</v>
      </c>
      <c r="W207" s="60">
        <f t="shared" si="36"/>
        <v>317.3869776890744</v>
      </c>
      <c r="X207" s="60">
        <f t="shared" si="37"/>
        <v>97.934499684045605</v>
      </c>
      <c r="Y207" s="60">
        <f t="shared" si="38"/>
        <v>3338.7476478484705</v>
      </c>
      <c r="Z207" s="63">
        <f t="shared" si="39"/>
        <v>0.4127597588589304</v>
      </c>
      <c r="AA207" s="59">
        <f t="shared" si="40"/>
        <v>3338.8522939255645</v>
      </c>
      <c r="AB207" s="60"/>
      <c r="AC207" s="59">
        <v>3347.0449807823593</v>
      </c>
      <c r="AD207" s="106">
        <f t="shared" si="47"/>
        <v>-8.1926868567948077</v>
      </c>
      <c r="AE207" s="106">
        <v>-8.1563474760018835</v>
      </c>
      <c r="AF207" s="106">
        <f t="shared" si="48"/>
        <v>-3.6339380792924203E-2</v>
      </c>
      <c r="AG207" s="59"/>
    </row>
    <row r="208" spans="2:33" x14ac:dyDescent="0.35">
      <c r="B208">
        <v>602</v>
      </c>
      <c r="C208" s="17">
        <v>8</v>
      </c>
      <c r="D208" s="22" t="s">
        <v>350</v>
      </c>
      <c r="E208" s="90">
        <v>15.286633204362731</v>
      </c>
      <c r="F208" s="90">
        <f>INDEX('Revised 2019 Lockdown'!H$5:H$257,MATCH(B208,'Revised 2019 Lockdown'!B$5:B$257,0))</f>
        <v>15.286633204362731</v>
      </c>
      <c r="G208" s="90">
        <f t="shared" si="41"/>
        <v>0</v>
      </c>
      <c r="H208" s="5">
        <v>26328.83</v>
      </c>
      <c r="I208" s="5">
        <f>INDEX('Revised 2019 Lockdown'!E$5:E$257,MATCH(B208,'Revised 2019 Lockdown'!B$5:B$257,0))</f>
        <v>26328.83</v>
      </c>
      <c r="J208" s="5">
        <f t="shared" si="42"/>
        <v>0</v>
      </c>
      <c r="K208" s="5">
        <v>0</v>
      </c>
      <c r="L208" s="5">
        <f>INDEX('Revised 2019 Lockdown'!F$5:F$257,MATCH(B208,'Revised 2019 Lockdown'!B$5:B$257,0))</f>
        <v>0</v>
      </c>
      <c r="M208" s="5">
        <f t="shared" si="43"/>
        <v>0</v>
      </c>
      <c r="N208" s="5">
        <v>26328.83</v>
      </c>
      <c r="O208" s="60">
        <f>INDEX('Revised 2019 Lockdown'!G$5:G$257,MATCH(B208,'Revised 2019 Lockdown'!B$5:B$257,0))</f>
        <v>26328.83</v>
      </c>
      <c r="P208" s="5">
        <f t="shared" si="44"/>
        <v>0</v>
      </c>
      <c r="Q208" s="58">
        <f t="shared" si="45"/>
        <v>1722.3432817427633</v>
      </c>
      <c r="R208" s="6">
        <f t="shared" si="33"/>
        <v>1722.3432817427633</v>
      </c>
      <c r="S208" s="5">
        <f t="shared" si="46"/>
        <v>26328.83</v>
      </c>
      <c r="T208" s="82">
        <v>0.38194444444444448</v>
      </c>
      <c r="U208" s="60">
        <f t="shared" si="34"/>
        <v>6071.9869133359689</v>
      </c>
      <c r="V208" s="60">
        <f t="shared" si="35"/>
        <v>1092.7139935012851</v>
      </c>
      <c r="W208" s="60">
        <f t="shared" si="36"/>
        <v>695.74850048641304</v>
      </c>
      <c r="X208" s="60">
        <f t="shared" si="37"/>
        <v>318.772629118179</v>
      </c>
      <c r="Y208" s="60">
        <f t="shared" si="38"/>
        <v>8179.2220364418454</v>
      </c>
      <c r="Z208" s="63">
        <f t="shared" si="39"/>
        <v>0.31065649466542361</v>
      </c>
      <c r="AA208" s="59">
        <f t="shared" si="40"/>
        <v>8179.4783970866356</v>
      </c>
      <c r="AB208" s="60"/>
      <c r="AC208" s="59">
        <v>8202.1117667315084</v>
      </c>
      <c r="AD208" s="106">
        <f t="shared" si="47"/>
        <v>-22.633369644872801</v>
      </c>
      <c r="AE208" s="106">
        <v>-22.519897720549125</v>
      </c>
      <c r="AF208" s="106">
        <f t="shared" si="48"/>
        <v>-0.11347192432367592</v>
      </c>
      <c r="AG208" s="59"/>
    </row>
    <row r="209" spans="2:33" x14ac:dyDescent="0.35">
      <c r="B209">
        <v>605</v>
      </c>
      <c r="C209" s="17">
        <v>8</v>
      </c>
      <c r="D209" s="22" t="s">
        <v>203</v>
      </c>
      <c r="E209" s="90">
        <v>11.743233894780035</v>
      </c>
      <c r="F209" s="90">
        <f>INDEX('Revised 2019 Lockdown'!H$5:H$257,MATCH(B209,'Revised 2019 Lockdown'!B$5:B$257,0))</f>
        <v>11.743233894780035</v>
      </c>
      <c r="G209" s="90">
        <f t="shared" si="41"/>
        <v>0</v>
      </c>
      <c r="H209" s="5">
        <v>8356.2900000000009</v>
      </c>
      <c r="I209" s="5">
        <f>INDEX('Revised 2019 Lockdown'!E$5:E$257,MATCH(B209,'Revised 2019 Lockdown'!B$5:B$257,0))</f>
        <v>8356.2900000000009</v>
      </c>
      <c r="J209" s="5">
        <f t="shared" si="42"/>
        <v>0</v>
      </c>
      <c r="K209" s="5">
        <v>0</v>
      </c>
      <c r="L209" s="5">
        <f>INDEX('Revised 2019 Lockdown'!F$5:F$257,MATCH(B209,'Revised 2019 Lockdown'!B$5:B$257,0))</f>
        <v>0</v>
      </c>
      <c r="M209" s="5">
        <f t="shared" si="43"/>
        <v>0</v>
      </c>
      <c r="N209" s="5">
        <v>8356.2900000000009</v>
      </c>
      <c r="O209" s="60">
        <f>INDEX('Revised 2019 Lockdown'!G$5:G$257,MATCH(B209,'Revised 2019 Lockdown'!B$5:B$257,0))</f>
        <v>8356.2900000000009</v>
      </c>
      <c r="P209" s="5">
        <f t="shared" si="44"/>
        <v>0</v>
      </c>
      <c r="Q209" s="58">
        <f t="shared" si="45"/>
        <v>711.58337429644837</v>
      </c>
      <c r="R209" s="6">
        <f t="shared" si="33"/>
        <v>711.58337429644837</v>
      </c>
      <c r="S209" s="5">
        <f t="shared" si="46"/>
        <v>8356.2900000000009</v>
      </c>
      <c r="T209" s="82">
        <v>0.30555555555555558</v>
      </c>
      <c r="U209" s="60">
        <f t="shared" si="34"/>
        <v>1927.1378000480927</v>
      </c>
      <c r="V209" s="60">
        <f t="shared" si="35"/>
        <v>839.42591113670164</v>
      </c>
      <c r="W209" s="60">
        <f t="shared" si="36"/>
        <v>176.65429833774181</v>
      </c>
      <c r="X209" s="60">
        <f t="shared" si="37"/>
        <v>101.17261317627666</v>
      </c>
      <c r="Y209" s="60">
        <f t="shared" si="38"/>
        <v>3044.3906226988129</v>
      </c>
      <c r="Z209" s="63">
        <f t="shared" si="39"/>
        <v>0.36432323707037606</v>
      </c>
      <c r="AA209" s="59">
        <f t="shared" si="40"/>
        <v>3044.4860427692734</v>
      </c>
      <c r="AB209" s="60"/>
      <c r="AC209" s="59">
        <v>3052.1743454865505</v>
      </c>
      <c r="AD209" s="106">
        <f t="shared" si="47"/>
        <v>-7.6883027172771108</v>
      </c>
      <c r="AE209" s="106">
        <v>-7.6527533355856576</v>
      </c>
      <c r="AF209" s="106">
        <f t="shared" si="48"/>
        <v>-3.5549381691453164E-2</v>
      </c>
      <c r="AG209" s="59"/>
    </row>
    <row r="210" spans="2:33" x14ac:dyDescent="0.35">
      <c r="B210">
        <v>607</v>
      </c>
      <c r="C210" s="17">
        <v>8</v>
      </c>
      <c r="D210" s="22" t="s">
        <v>204</v>
      </c>
      <c r="E210" s="90">
        <v>17.618373107885343</v>
      </c>
      <c r="F210" s="90">
        <f>INDEX('Revised 2019 Lockdown'!H$5:H$257,MATCH(B210,'Revised 2019 Lockdown'!B$5:B$257,0))</f>
        <v>17.618373107885343</v>
      </c>
      <c r="G210" s="90">
        <f t="shared" si="41"/>
        <v>0</v>
      </c>
      <c r="H210" s="5">
        <v>12544.93</v>
      </c>
      <c r="I210" s="5">
        <f>INDEX('Revised 2019 Lockdown'!E$5:E$257,MATCH(B210,'Revised 2019 Lockdown'!B$5:B$257,0))</f>
        <v>12544.93</v>
      </c>
      <c r="J210" s="5">
        <f t="shared" si="42"/>
        <v>0</v>
      </c>
      <c r="K210" s="5">
        <v>0</v>
      </c>
      <c r="L210" s="5">
        <f>INDEX('Revised 2019 Lockdown'!F$5:F$257,MATCH(B210,'Revised 2019 Lockdown'!B$5:B$257,0))</f>
        <v>0</v>
      </c>
      <c r="M210" s="5">
        <f t="shared" si="43"/>
        <v>0</v>
      </c>
      <c r="N210" s="5">
        <v>12544.93</v>
      </c>
      <c r="O210" s="60">
        <f>INDEX('Revised 2019 Lockdown'!G$5:G$257,MATCH(B210,'Revised 2019 Lockdown'!B$5:B$257,0))</f>
        <v>12544.93</v>
      </c>
      <c r="P210" s="5">
        <f t="shared" si="44"/>
        <v>0</v>
      </c>
      <c r="Q210" s="58">
        <f t="shared" si="45"/>
        <v>712.0367994923065</v>
      </c>
      <c r="R210" s="6">
        <f t="shared" si="33"/>
        <v>712.0367994923065</v>
      </c>
      <c r="S210" s="5">
        <f t="shared" si="46"/>
        <v>12544.93</v>
      </c>
      <c r="T210" s="82">
        <v>0.33333333333333337</v>
      </c>
      <c r="U210" s="60">
        <f t="shared" si="34"/>
        <v>2893.1270697830396</v>
      </c>
      <c r="V210" s="60">
        <f t="shared" si="35"/>
        <v>1259.3906441229099</v>
      </c>
      <c r="W210" s="60">
        <f t="shared" si="36"/>
        <v>289.31270697830399</v>
      </c>
      <c r="X210" s="60">
        <f t="shared" si="37"/>
        <v>151.88598650997849</v>
      </c>
      <c r="Y210" s="60">
        <f t="shared" si="38"/>
        <v>4593.7164073942322</v>
      </c>
      <c r="Z210" s="63">
        <f t="shared" si="39"/>
        <v>0.36618111120542179</v>
      </c>
      <c r="AA210" s="59">
        <f t="shared" si="40"/>
        <v>4593.8603878479889</v>
      </c>
      <c r="AB210" s="60"/>
      <c r="AC210" s="59">
        <v>4605.4728988494508</v>
      </c>
      <c r="AD210" s="106">
        <f t="shared" si="47"/>
        <v>-11.612511001461826</v>
      </c>
      <c r="AE210" s="106">
        <v>-11.558760580080161</v>
      </c>
      <c r="AF210" s="106">
        <f t="shared" si="48"/>
        <v>-5.3750421381664637E-2</v>
      </c>
      <c r="AG210" s="59"/>
    </row>
    <row r="211" spans="2:33" x14ac:dyDescent="0.35">
      <c r="B211">
        <v>610</v>
      </c>
      <c r="C211" s="17">
        <v>8</v>
      </c>
      <c r="D211" s="22" t="s">
        <v>205</v>
      </c>
      <c r="E211" s="90">
        <v>75.671529349767766</v>
      </c>
      <c r="F211" s="90">
        <f>INDEX('Revised 2019 Lockdown'!H$5:H$257,MATCH(B211,'Revised 2019 Lockdown'!B$5:B$257,0))</f>
        <v>75.671529349767766</v>
      </c>
      <c r="G211" s="90">
        <f t="shared" si="41"/>
        <v>0</v>
      </c>
      <c r="H211" s="5">
        <v>39395.15</v>
      </c>
      <c r="I211" s="5">
        <f>INDEX('Revised 2019 Lockdown'!E$5:E$257,MATCH(B211,'Revised 2019 Lockdown'!B$5:B$257,0))</f>
        <v>39395.15</v>
      </c>
      <c r="J211" s="5">
        <f t="shared" si="42"/>
        <v>0</v>
      </c>
      <c r="K211" s="5">
        <v>0</v>
      </c>
      <c r="L211" s="5">
        <f>INDEX('Revised 2019 Lockdown'!F$5:F$257,MATCH(B211,'Revised 2019 Lockdown'!B$5:B$257,0))</f>
        <v>0</v>
      </c>
      <c r="M211" s="5">
        <f t="shared" si="43"/>
        <v>0</v>
      </c>
      <c r="N211" s="5">
        <v>39395.15</v>
      </c>
      <c r="O211" s="60">
        <f>INDEX('Revised 2019 Lockdown'!G$5:G$257,MATCH(B211,'Revised 2019 Lockdown'!B$5:B$257,0))</f>
        <v>39395.15</v>
      </c>
      <c r="P211" s="5">
        <f t="shared" si="44"/>
        <v>0</v>
      </c>
      <c r="Q211" s="58">
        <f t="shared" si="45"/>
        <v>520.60729231344533</v>
      </c>
      <c r="R211" s="6">
        <f t="shared" si="33"/>
        <v>520.60729231344533</v>
      </c>
      <c r="S211" s="5">
        <f t="shared" si="46"/>
        <v>39395.15</v>
      </c>
      <c r="T211" s="82">
        <v>0.33333333333333337</v>
      </c>
      <c r="U211" s="60">
        <f t="shared" si="34"/>
        <v>9085.3575813626157</v>
      </c>
      <c r="V211" s="60">
        <f t="shared" si="35"/>
        <v>5409.1269100730351</v>
      </c>
      <c r="W211" s="60">
        <f t="shared" si="36"/>
        <v>908.53575813626162</v>
      </c>
      <c r="X211" s="60">
        <f t="shared" si="37"/>
        <v>476.97127217597699</v>
      </c>
      <c r="Y211" s="60">
        <f t="shared" si="38"/>
        <v>15879.99152174789</v>
      </c>
      <c r="Z211" s="63">
        <f t="shared" si="39"/>
        <v>0.40309508966834467</v>
      </c>
      <c r="AA211" s="59">
        <f t="shared" si="40"/>
        <v>15880.489246940781</v>
      </c>
      <c r="AB211" s="60"/>
      <c r="AC211" s="59">
        <v>15918.833036982476</v>
      </c>
      <c r="AD211" s="106">
        <f t="shared" si="47"/>
        <v>-38.343790041695684</v>
      </c>
      <c r="AE211" s="106">
        <v>-38.176905874097429</v>
      </c>
      <c r="AF211" s="106">
        <f t="shared" si="48"/>
        <v>-0.16688416759825486</v>
      </c>
      <c r="AG211" s="59"/>
    </row>
    <row r="212" spans="2:33" x14ac:dyDescent="0.35">
      <c r="B212">
        <v>611</v>
      </c>
      <c r="C212" s="17">
        <v>8</v>
      </c>
      <c r="D212" s="22" t="s">
        <v>206</v>
      </c>
      <c r="E212" s="90">
        <v>19.780665332856973</v>
      </c>
      <c r="F212" s="90">
        <f>INDEX('Revised 2019 Lockdown'!H$5:H$257,MATCH(B212,'Revised 2019 Lockdown'!B$5:B$257,0))</f>
        <v>19.780665332856973</v>
      </c>
      <c r="G212" s="90">
        <f t="shared" si="41"/>
        <v>0</v>
      </c>
      <c r="H212" s="5">
        <v>37334.879999999997</v>
      </c>
      <c r="I212" s="5">
        <f>INDEX('Revised 2019 Lockdown'!E$5:E$257,MATCH(B212,'Revised 2019 Lockdown'!B$5:B$257,0))</f>
        <v>37334.879999999997</v>
      </c>
      <c r="J212" s="5">
        <f t="shared" si="42"/>
        <v>0</v>
      </c>
      <c r="K212" s="5">
        <v>0</v>
      </c>
      <c r="L212" s="5">
        <f>INDEX('Revised 2019 Lockdown'!F$5:F$257,MATCH(B212,'Revised 2019 Lockdown'!B$5:B$257,0))</f>
        <v>0</v>
      </c>
      <c r="M212" s="5">
        <f t="shared" si="43"/>
        <v>0</v>
      </c>
      <c r="N212" s="5">
        <v>37334.879999999997</v>
      </c>
      <c r="O212" s="60">
        <f>INDEX('Revised 2019 Lockdown'!G$5:G$257,MATCH(B212,'Revised 2019 Lockdown'!B$5:B$257,0))</f>
        <v>37334.879999999997</v>
      </c>
      <c r="P212" s="5">
        <f t="shared" si="44"/>
        <v>0</v>
      </c>
      <c r="Q212" s="58">
        <f t="shared" si="45"/>
        <v>1887.4430850404374</v>
      </c>
      <c r="R212" s="6">
        <f t="shared" si="33"/>
        <v>1830.1017274062599</v>
      </c>
      <c r="S212" s="5">
        <f t="shared" si="46"/>
        <v>36200.629794906665</v>
      </c>
      <c r="T212" s="82">
        <v>0.44212962962962959</v>
      </c>
      <c r="U212" s="60">
        <f t="shared" si="34"/>
        <v>8348.6334322183484</v>
      </c>
      <c r="V212" s="60">
        <f t="shared" si="35"/>
        <v>1413.9548925534411</v>
      </c>
      <c r="W212" s="60">
        <f t="shared" si="36"/>
        <v>1107.3534621900722</v>
      </c>
      <c r="X212" s="60">
        <f t="shared" si="37"/>
        <v>438.29406530621685</v>
      </c>
      <c r="Y212" s="60">
        <f t="shared" si="38"/>
        <v>11308.235852268079</v>
      </c>
      <c r="Z212" s="63">
        <f t="shared" si="39"/>
        <v>0.31237677124222624</v>
      </c>
      <c r="AA212" s="59">
        <f t="shared" si="40"/>
        <v>11308.59028532071</v>
      </c>
      <c r="AB212" s="60"/>
      <c r="AC212" s="59">
        <v>11343.456426331548</v>
      </c>
      <c r="AD212" s="106">
        <f t="shared" si="47"/>
        <v>-34.866141010837964</v>
      </c>
      <c r="AE212" s="106">
        <v>-34.709055918890954</v>
      </c>
      <c r="AF212" s="106">
        <f t="shared" si="48"/>
        <v>-0.15708509194701037</v>
      </c>
      <c r="AG212" s="59"/>
    </row>
    <row r="213" spans="2:33" x14ac:dyDescent="0.35">
      <c r="B213">
        <v>616</v>
      </c>
      <c r="C213" s="17">
        <v>8</v>
      </c>
      <c r="D213" s="22" t="s">
        <v>207</v>
      </c>
      <c r="E213" s="90">
        <v>164.92000000000002</v>
      </c>
      <c r="F213" s="90">
        <f>INDEX('Revised 2019 Lockdown'!H$5:H$257,MATCH(B213,'Revised 2019 Lockdown'!B$5:B$257,0))</f>
        <v>164.92000000000002</v>
      </c>
      <c r="G213" s="90">
        <f t="shared" si="41"/>
        <v>0</v>
      </c>
      <c r="H213" s="5">
        <v>264029.39</v>
      </c>
      <c r="I213" s="5">
        <f>INDEX('Revised 2019 Lockdown'!E$5:E$257,MATCH(B213,'Revised 2019 Lockdown'!B$5:B$257,0))</f>
        <v>264029.39</v>
      </c>
      <c r="J213" s="5">
        <f t="shared" si="42"/>
        <v>0</v>
      </c>
      <c r="K213" s="5">
        <v>0</v>
      </c>
      <c r="L213" s="5">
        <f>INDEX('Revised 2019 Lockdown'!F$5:F$257,MATCH(B213,'Revised 2019 Lockdown'!B$5:B$257,0))</f>
        <v>0</v>
      </c>
      <c r="M213" s="5">
        <f t="shared" si="43"/>
        <v>0</v>
      </c>
      <c r="N213" s="5">
        <v>264029.39</v>
      </c>
      <c r="O213" s="60">
        <f>INDEX('Revised 2019 Lockdown'!G$5:G$257,MATCH(B213,'Revised 2019 Lockdown'!B$5:B$257,0))</f>
        <v>264029.39</v>
      </c>
      <c r="P213" s="5">
        <f t="shared" si="44"/>
        <v>0</v>
      </c>
      <c r="Q213" s="58">
        <f t="shared" si="45"/>
        <v>1600.9543414989084</v>
      </c>
      <c r="R213" s="6">
        <f t="shared" si="33"/>
        <v>1600.9543414989084</v>
      </c>
      <c r="S213" s="5">
        <f t="shared" si="46"/>
        <v>264029.39</v>
      </c>
      <c r="T213" s="82">
        <v>0.49305555555555558</v>
      </c>
      <c r="U213" s="60">
        <f t="shared" si="34"/>
        <v>60890.780213783844</v>
      </c>
      <c r="V213" s="60">
        <f t="shared" si="35"/>
        <v>11788.756189741034</v>
      </c>
      <c r="W213" s="60">
        <f t="shared" si="36"/>
        <v>9006.7612399555273</v>
      </c>
      <c r="X213" s="60">
        <f t="shared" si="37"/>
        <v>3196.6989347710869</v>
      </c>
      <c r="Y213" s="60">
        <f t="shared" si="38"/>
        <v>84882.996578251492</v>
      </c>
      <c r="Z213" s="63">
        <f t="shared" si="39"/>
        <v>0.32149071199328033</v>
      </c>
      <c r="AA213" s="59">
        <f t="shared" si="40"/>
        <v>84885.657058629411</v>
      </c>
      <c r="AB213" s="60"/>
      <c r="AC213" s="59">
        <v>85119.714093108312</v>
      </c>
      <c r="AD213" s="106">
        <f t="shared" si="47"/>
        <v>-234.05703447890119</v>
      </c>
      <c r="AE213" s="106">
        <v>-232.89223394435248</v>
      </c>
      <c r="AF213" s="106">
        <f t="shared" si="48"/>
        <v>-1.1648005345487036</v>
      </c>
      <c r="AG213" s="59"/>
    </row>
    <row r="214" spans="2:33" x14ac:dyDescent="0.35">
      <c r="B214">
        <v>637</v>
      </c>
      <c r="C214" s="17">
        <v>8</v>
      </c>
      <c r="D214" s="22" t="s">
        <v>351</v>
      </c>
      <c r="E214" s="90">
        <v>11.1622</v>
      </c>
      <c r="F214" s="90">
        <f>INDEX('Revised 2019 Lockdown'!H$5:H$257,MATCH(B214,'Revised 2019 Lockdown'!B$5:B$257,0))</f>
        <v>11.1622</v>
      </c>
      <c r="G214" s="90">
        <f t="shared" si="41"/>
        <v>0</v>
      </c>
      <c r="H214" s="5">
        <v>24131.66</v>
      </c>
      <c r="I214" s="5">
        <f>INDEX('Revised 2019 Lockdown'!E$5:E$257,MATCH(B214,'Revised 2019 Lockdown'!B$5:B$257,0))</f>
        <v>24131.66</v>
      </c>
      <c r="J214" s="5">
        <f t="shared" si="42"/>
        <v>0</v>
      </c>
      <c r="K214" s="5">
        <v>0</v>
      </c>
      <c r="L214" s="5">
        <f>INDEX('Revised 2019 Lockdown'!F$5:F$257,MATCH(B214,'Revised 2019 Lockdown'!B$5:B$257,0))</f>
        <v>0</v>
      </c>
      <c r="M214" s="5">
        <f t="shared" si="43"/>
        <v>0</v>
      </c>
      <c r="N214" s="5">
        <v>24131.66</v>
      </c>
      <c r="O214" s="60">
        <f>INDEX('Revised 2019 Lockdown'!G$5:G$257,MATCH(B214,'Revised 2019 Lockdown'!B$5:B$257,0))</f>
        <v>24131.66</v>
      </c>
      <c r="P214" s="5">
        <f t="shared" si="44"/>
        <v>0</v>
      </c>
      <c r="Q214" s="58">
        <f t="shared" si="45"/>
        <v>2161.9089426815503</v>
      </c>
      <c r="R214" s="6">
        <f t="shared" si="33"/>
        <v>1830.1017274062599</v>
      </c>
      <c r="S214" s="5">
        <f t="shared" si="46"/>
        <v>20427.961501654154</v>
      </c>
      <c r="T214" s="82">
        <v>0.3611111111111111</v>
      </c>
      <c r="U214" s="60">
        <f t="shared" si="34"/>
        <v>4711.1214172515447</v>
      </c>
      <c r="V214" s="60">
        <f t="shared" si="35"/>
        <v>797.89264092364397</v>
      </c>
      <c r="W214" s="60">
        <f t="shared" si="36"/>
        <v>510.37148686891726</v>
      </c>
      <c r="X214" s="60">
        <f t="shared" si="37"/>
        <v>247.32868856714248</v>
      </c>
      <c r="Y214" s="60">
        <f t="shared" si="38"/>
        <v>6266.7142336112483</v>
      </c>
      <c r="Z214" s="63">
        <f t="shared" si="39"/>
        <v>0.30677139435101253</v>
      </c>
      <c r="AA214" s="59">
        <f t="shared" si="40"/>
        <v>6266.9106506903408</v>
      </c>
      <c r="AB214" s="60"/>
      <c r="AC214" s="59">
        <v>6286.2067678770627</v>
      </c>
      <c r="AD214" s="106">
        <f t="shared" si="47"/>
        <v>-19.296117186721858</v>
      </c>
      <c r="AE214" s="106">
        <v>-19.209282072699352</v>
      </c>
      <c r="AF214" s="106">
        <f t="shared" si="48"/>
        <v>-8.6835114022505877E-2</v>
      </c>
      <c r="AG214" s="59"/>
    </row>
    <row r="215" spans="2:33" x14ac:dyDescent="0.35">
      <c r="B215">
        <v>638</v>
      </c>
      <c r="C215" s="17">
        <v>8</v>
      </c>
      <c r="D215" s="22" t="s">
        <v>208</v>
      </c>
      <c r="E215" s="90">
        <v>11.482586231848504</v>
      </c>
      <c r="F215" s="90">
        <f>INDEX('Revised 2019 Lockdown'!H$5:H$257,MATCH(B215,'Revised 2019 Lockdown'!B$5:B$257,0))</f>
        <v>11.482586231848504</v>
      </c>
      <c r="G215" s="90">
        <f t="shared" si="41"/>
        <v>0</v>
      </c>
      <c r="H215" s="5">
        <v>19979.61</v>
      </c>
      <c r="I215" s="5">
        <f>INDEX('Revised 2019 Lockdown'!E$5:E$257,MATCH(B215,'Revised 2019 Lockdown'!B$5:B$257,0))</f>
        <v>19979.61</v>
      </c>
      <c r="J215" s="5">
        <f t="shared" si="42"/>
        <v>0</v>
      </c>
      <c r="K215" s="5">
        <v>0</v>
      </c>
      <c r="L215" s="5">
        <f>INDEX('Revised 2019 Lockdown'!F$5:F$257,MATCH(B215,'Revised 2019 Lockdown'!B$5:B$257,0))</f>
        <v>0</v>
      </c>
      <c r="M215" s="5">
        <f t="shared" si="43"/>
        <v>0</v>
      </c>
      <c r="N215" s="5">
        <v>19979.61</v>
      </c>
      <c r="O215" s="60">
        <f>INDEX('Revised 2019 Lockdown'!G$5:G$257,MATCH(B215,'Revised 2019 Lockdown'!B$5:B$257,0))</f>
        <v>19979.61</v>
      </c>
      <c r="P215" s="5">
        <f t="shared" si="44"/>
        <v>0</v>
      </c>
      <c r="Q215" s="58">
        <f t="shared" si="45"/>
        <v>1739.9921582634279</v>
      </c>
      <c r="R215" s="6">
        <f t="shared" si="33"/>
        <v>1739.9921582634279</v>
      </c>
      <c r="S215" s="5">
        <f t="shared" si="46"/>
        <v>19979.61</v>
      </c>
      <c r="T215" s="82">
        <v>0.53240740740740744</v>
      </c>
      <c r="U215" s="60">
        <f t="shared" si="34"/>
        <v>4607.7220466521467</v>
      </c>
      <c r="V215" s="60">
        <f t="shared" si="35"/>
        <v>820.79438221525118</v>
      </c>
      <c r="W215" s="60">
        <f t="shared" si="36"/>
        <v>735.95560467360679</v>
      </c>
      <c r="X215" s="60">
        <f t="shared" si="37"/>
        <v>241.90033542910416</v>
      </c>
      <c r="Y215" s="60">
        <f t="shared" si="38"/>
        <v>6406.3723689701092</v>
      </c>
      <c r="Z215" s="63">
        <f t="shared" si="39"/>
        <v>0.32064551655263085</v>
      </c>
      <c r="AA215" s="59">
        <f t="shared" si="40"/>
        <v>6406.5731633419891</v>
      </c>
      <c r="AB215" s="60"/>
      <c r="AC215" s="59">
        <v>6424.3538923379256</v>
      </c>
      <c r="AD215" s="106">
        <f t="shared" si="47"/>
        <v>-17.780728995936443</v>
      </c>
      <c r="AE215" s="106">
        <v>-17.691328768165477</v>
      </c>
      <c r="AF215" s="106">
        <f t="shared" si="48"/>
        <v>-8.9400227770966012E-2</v>
      </c>
      <c r="AG215" s="59"/>
    </row>
    <row r="216" spans="2:33" x14ac:dyDescent="0.35">
      <c r="B216">
        <v>639</v>
      </c>
      <c r="C216" s="17">
        <v>8</v>
      </c>
      <c r="D216" s="22" t="s">
        <v>209</v>
      </c>
      <c r="E216" s="90">
        <v>26.744088597118019</v>
      </c>
      <c r="F216" s="90">
        <f>INDEX('Revised 2019 Lockdown'!H$5:H$257,MATCH(B216,'Revised 2019 Lockdown'!B$5:B$257,0))</f>
        <v>26.744088597118019</v>
      </c>
      <c r="G216" s="90">
        <f t="shared" si="41"/>
        <v>0</v>
      </c>
      <c r="H216" s="5">
        <v>19587.5</v>
      </c>
      <c r="I216" s="5">
        <f>INDEX('Revised 2019 Lockdown'!E$5:E$257,MATCH(B216,'Revised 2019 Lockdown'!B$5:B$257,0))</f>
        <v>19587.5</v>
      </c>
      <c r="J216" s="5">
        <f t="shared" si="42"/>
        <v>0</v>
      </c>
      <c r="K216" s="5">
        <v>0</v>
      </c>
      <c r="L216" s="5">
        <f>INDEX('Revised 2019 Lockdown'!F$5:F$257,MATCH(B216,'Revised 2019 Lockdown'!B$5:B$257,0))</f>
        <v>0</v>
      </c>
      <c r="M216" s="5">
        <f t="shared" si="43"/>
        <v>0</v>
      </c>
      <c r="N216" s="5">
        <v>19587.5</v>
      </c>
      <c r="O216" s="60">
        <f>INDEX('Revised 2019 Lockdown'!G$5:G$257,MATCH(B216,'Revised 2019 Lockdown'!B$5:B$257,0))</f>
        <v>19587.5</v>
      </c>
      <c r="P216" s="5">
        <f t="shared" si="44"/>
        <v>0</v>
      </c>
      <c r="Q216" s="58">
        <f t="shared" si="45"/>
        <v>732.40484262046516</v>
      </c>
      <c r="R216" s="6">
        <f t="shared" si="33"/>
        <v>732.40484262046516</v>
      </c>
      <c r="S216" s="5">
        <f t="shared" si="46"/>
        <v>19587.5</v>
      </c>
      <c r="T216" s="82">
        <v>0.72685185185185175</v>
      </c>
      <c r="U216" s="60">
        <f t="shared" si="34"/>
        <v>4517.2931598163786</v>
      </c>
      <c r="V216" s="60">
        <f t="shared" si="35"/>
        <v>1911.71198149562</v>
      </c>
      <c r="W216" s="60">
        <f t="shared" si="36"/>
        <v>985.02086957107133</v>
      </c>
      <c r="X216" s="60">
        <f t="shared" si="37"/>
        <v>237.1529184111991</v>
      </c>
      <c r="Y216" s="60">
        <f t="shared" si="38"/>
        <v>7651.1789292942685</v>
      </c>
      <c r="Z216" s="63">
        <f t="shared" si="39"/>
        <v>0.3906153888599499</v>
      </c>
      <c r="AA216" s="59">
        <f t="shared" si="40"/>
        <v>7651.418739529885</v>
      </c>
      <c r="AB216" s="60"/>
      <c r="AC216" s="59">
        <v>7671.0599503421226</v>
      </c>
      <c r="AD216" s="106">
        <f t="shared" si="47"/>
        <v>-19.641210812237659</v>
      </c>
      <c r="AE216" s="106">
        <v>-19.54978057217977</v>
      </c>
      <c r="AF216" s="106">
        <f t="shared" si="48"/>
        <v>-9.1430240057889023E-2</v>
      </c>
      <c r="AG216" s="59"/>
    </row>
    <row r="217" spans="2:33" x14ac:dyDescent="0.35">
      <c r="B217">
        <v>645</v>
      </c>
      <c r="C217" s="17">
        <v>8</v>
      </c>
      <c r="D217" s="22" t="s">
        <v>210</v>
      </c>
      <c r="E217" s="90">
        <v>4.4384178397046563</v>
      </c>
      <c r="F217" s="90">
        <f>INDEX('Revised 2019 Lockdown'!H$5:H$257,MATCH(B217,'Revised 2019 Lockdown'!B$5:B$257,0))</f>
        <v>4.4384178397046563</v>
      </c>
      <c r="G217" s="90">
        <f t="shared" si="41"/>
        <v>0</v>
      </c>
      <c r="H217" s="5">
        <v>14942.85</v>
      </c>
      <c r="I217" s="5">
        <f>INDEX('Revised 2019 Lockdown'!E$5:E$257,MATCH(B217,'Revised 2019 Lockdown'!B$5:B$257,0))</f>
        <v>14942.85</v>
      </c>
      <c r="J217" s="5">
        <f t="shared" si="42"/>
        <v>0</v>
      </c>
      <c r="K217" s="5">
        <v>0</v>
      </c>
      <c r="L217" s="5">
        <f>INDEX('Revised 2019 Lockdown'!F$5:F$257,MATCH(B217,'Revised 2019 Lockdown'!B$5:B$257,0))</f>
        <v>0</v>
      </c>
      <c r="M217" s="5">
        <f t="shared" si="43"/>
        <v>0</v>
      </c>
      <c r="N217" s="5">
        <v>14942.85</v>
      </c>
      <c r="O217" s="60">
        <f>INDEX('Revised 2019 Lockdown'!G$5:G$257,MATCH(B217,'Revised 2019 Lockdown'!B$5:B$257,0))</f>
        <v>14942.85</v>
      </c>
      <c r="P217" s="5">
        <f t="shared" si="44"/>
        <v>0</v>
      </c>
      <c r="Q217" s="58">
        <f t="shared" si="45"/>
        <v>3366.7064570455891</v>
      </c>
      <c r="R217" s="6">
        <f t="shared" si="33"/>
        <v>1830.1017274062599</v>
      </c>
      <c r="S217" s="5">
        <f t="shared" si="46"/>
        <v>8122.7561553942514</v>
      </c>
      <c r="T217" s="82">
        <v>0.26851851851851849</v>
      </c>
      <c r="U217" s="60">
        <f t="shared" si="34"/>
        <v>1873.279939738039</v>
      </c>
      <c r="V217" s="60">
        <f t="shared" si="35"/>
        <v>317.26549709237986</v>
      </c>
      <c r="W217" s="60">
        <f t="shared" si="36"/>
        <v>150.90310625667533</v>
      </c>
      <c r="X217" s="60">
        <f t="shared" si="37"/>
        <v>98.345134794857842</v>
      </c>
      <c r="Y217" s="60">
        <f t="shared" si="38"/>
        <v>2439.7936778819526</v>
      </c>
      <c r="Z217" s="63">
        <f t="shared" si="39"/>
        <v>0.30036524933248265</v>
      </c>
      <c r="AA217" s="59">
        <f t="shared" si="40"/>
        <v>2439.8701481229646</v>
      </c>
      <c r="AB217" s="60"/>
      <c r="AC217" s="59">
        <v>2447.3707130009184</v>
      </c>
      <c r="AD217" s="106">
        <f t="shared" si="47"/>
        <v>-7.5005648779538205</v>
      </c>
      <c r="AE217" s="106">
        <v>-7.4668582028402852</v>
      </c>
      <c r="AF217" s="106">
        <f t="shared" si="48"/>
        <v>-3.3706675113535312E-2</v>
      </c>
      <c r="AG217" s="59"/>
    </row>
    <row r="218" spans="2:33" x14ac:dyDescent="0.35">
      <c r="B218">
        <v>709</v>
      </c>
      <c r="C218" s="17">
        <v>8</v>
      </c>
      <c r="D218" s="22" t="s">
        <v>297</v>
      </c>
      <c r="E218" s="90">
        <v>69.808973502441347</v>
      </c>
      <c r="F218" s="90">
        <f>INDEX('Revised 2019 Lockdown'!H$5:H$257,MATCH(B218,'Revised 2019 Lockdown'!B$5:B$257,0))</f>
        <v>69.808973502441347</v>
      </c>
      <c r="G218" s="90">
        <f t="shared" si="41"/>
        <v>0</v>
      </c>
      <c r="H218" s="5">
        <v>43632.11</v>
      </c>
      <c r="I218" s="5">
        <f>INDEX('Revised 2019 Lockdown'!E$5:E$257,MATCH(B218,'Revised 2019 Lockdown'!B$5:B$257,0))</f>
        <v>43632.11</v>
      </c>
      <c r="J218" s="5">
        <f t="shared" si="42"/>
        <v>0</v>
      </c>
      <c r="K218" s="5">
        <v>0</v>
      </c>
      <c r="L218" s="5">
        <f>INDEX('Revised 2019 Lockdown'!F$5:F$257,MATCH(B218,'Revised 2019 Lockdown'!B$5:B$257,0))</f>
        <v>0</v>
      </c>
      <c r="M218" s="5">
        <f t="shared" si="43"/>
        <v>0</v>
      </c>
      <c r="N218" s="5">
        <v>43632.11</v>
      </c>
      <c r="O218" s="60">
        <f>INDEX('Revised 2019 Lockdown'!G$5:G$257,MATCH(B218,'Revised 2019 Lockdown'!B$5:B$257,0))</f>
        <v>43632.11</v>
      </c>
      <c r="P218" s="5">
        <f t="shared" si="44"/>
        <v>0</v>
      </c>
      <c r="Q218" s="58">
        <f t="shared" si="45"/>
        <v>625.02150956959861</v>
      </c>
      <c r="R218" s="6">
        <f t="shared" ref="R218:R266" si="49">MIN(Q218,INDEX($V$3:$V$11,MATCH(C218,$S$3:$S$11,0)))</f>
        <v>625.02150956959861</v>
      </c>
      <c r="S218" s="5">
        <f t="shared" si="46"/>
        <v>43632.11</v>
      </c>
      <c r="T218" s="82">
        <v>0.47222222222222221</v>
      </c>
      <c r="U218" s="60">
        <f t="shared" ref="U218:U266" si="50">$E$14*(S218/$S$24)</f>
        <v>10062.490468480195</v>
      </c>
      <c r="V218" s="60">
        <f t="shared" ref="V218:V266" si="51">$E$15*(F218/$F$24)</f>
        <v>4990.061657023849</v>
      </c>
      <c r="W218" s="60">
        <f t="shared" ref="W218:W266" si="52">IFERROR(T218*$E$16*(S218/$S$24),0)</f>
        <v>1425.5194830346941</v>
      </c>
      <c r="X218" s="60">
        <f t="shared" ref="X218:X266" si="53">($W$23+$E$9)*(S218/$S$24)</f>
        <v>528.26967315576076</v>
      </c>
      <c r="Y218" s="60">
        <f t="shared" ref="Y218:Y266" si="54">U218+V218+W218+X218</f>
        <v>17006.341281694498</v>
      </c>
      <c r="Z218" s="63">
        <f t="shared" ref="Z218:Z266" si="55">IFERROR((Y218/S218),0)</f>
        <v>0.38976664850025583</v>
      </c>
      <c r="AA218" s="59">
        <f t="shared" ref="AA218:AA266" si="56">IF(Z218&gt;$Z$19,$Z$19*S218,Y218+($Z$23*Y218/$Z$22))</f>
        <v>17006.874309969935</v>
      </c>
      <c r="AB218" s="60"/>
      <c r="AC218" s="59">
        <v>17049.292698957943</v>
      </c>
      <c r="AD218" s="106">
        <f t="shared" si="47"/>
        <v>-42.418388988007791</v>
      </c>
      <c r="AE218" s="106">
        <v>-42.226908103228197</v>
      </c>
      <c r="AF218" s="106">
        <f t="shared" si="48"/>
        <v>-0.19148088477959391</v>
      </c>
      <c r="AG218" s="59"/>
    </row>
    <row r="219" spans="2:33" x14ac:dyDescent="0.35">
      <c r="B219">
        <v>714</v>
      </c>
      <c r="C219" s="17">
        <v>8</v>
      </c>
      <c r="D219" s="22" t="s">
        <v>211</v>
      </c>
      <c r="E219" s="90">
        <v>55.79475654400381</v>
      </c>
      <c r="F219" s="90">
        <f>INDEX('Revised 2019 Lockdown'!H$5:H$257,MATCH(B219,'Revised 2019 Lockdown'!B$5:B$257,0))</f>
        <v>55.79475654400381</v>
      </c>
      <c r="G219" s="90">
        <f t="shared" ref="G219:G278" si="57">F219-E219</f>
        <v>0</v>
      </c>
      <c r="H219" s="5">
        <v>63101.23</v>
      </c>
      <c r="I219" s="5">
        <f>INDEX('Revised 2019 Lockdown'!E$5:E$257,MATCH(B219,'Revised 2019 Lockdown'!B$5:B$257,0))</f>
        <v>63101.23</v>
      </c>
      <c r="J219" s="5">
        <f t="shared" ref="J219:J278" si="58">I219-H219</f>
        <v>0</v>
      </c>
      <c r="K219" s="5">
        <v>0</v>
      </c>
      <c r="L219" s="5">
        <f>INDEX('Revised 2019 Lockdown'!F$5:F$257,MATCH(B219,'Revised 2019 Lockdown'!B$5:B$257,0))</f>
        <v>0</v>
      </c>
      <c r="M219" s="5">
        <f t="shared" ref="M219:M278" si="59">L219-K219</f>
        <v>0</v>
      </c>
      <c r="N219" s="5">
        <v>63101.23</v>
      </c>
      <c r="O219" s="60">
        <f>INDEX('Revised 2019 Lockdown'!G$5:G$257,MATCH(B219,'Revised 2019 Lockdown'!B$5:B$257,0))</f>
        <v>63101.23</v>
      </c>
      <c r="P219" s="5">
        <f t="shared" ref="P219:P278" si="60">O219-N219</f>
        <v>0</v>
      </c>
      <c r="Q219" s="58">
        <f t="shared" ref="Q219:Q266" si="61">IFERROR(O219/F219,"n.a.")</f>
        <v>1130.9526899760513</v>
      </c>
      <c r="R219" s="6">
        <f t="shared" si="49"/>
        <v>1130.9526899760513</v>
      </c>
      <c r="S219" s="5">
        <f t="shared" ref="S219:S274" si="62">F219*R219</f>
        <v>63101.229999999996</v>
      </c>
      <c r="T219" s="82">
        <v>0.34722222222222221</v>
      </c>
      <c r="U219" s="60">
        <f t="shared" si="50"/>
        <v>14552.482688194004</v>
      </c>
      <c r="V219" s="60">
        <f t="shared" si="51"/>
        <v>3988.3020953384603</v>
      </c>
      <c r="W219" s="60">
        <f t="shared" si="52"/>
        <v>1515.8836133535419</v>
      </c>
      <c r="X219" s="60">
        <f t="shared" si="53"/>
        <v>763.98932226350007</v>
      </c>
      <c r="Y219" s="60">
        <f t="shared" si="54"/>
        <v>20820.657719149505</v>
      </c>
      <c r="Z219" s="63">
        <f t="shared" si="55"/>
        <v>0.32995644806209812</v>
      </c>
      <c r="AA219" s="59">
        <f t="shared" si="56"/>
        <v>20821.310299213241</v>
      </c>
      <c r="AB219" s="60"/>
      <c r="AC219" s="59">
        <v>20876.872922097878</v>
      </c>
      <c r="AD219" s="106">
        <f t="shared" ref="AD219:AD274" si="63">AA219-AC219</f>
        <v>-55.562622884637676</v>
      </c>
      <c r="AE219" s="106">
        <v>-55.294337731163978</v>
      </c>
      <c r="AF219" s="106">
        <f t="shared" ref="AF219:AF274" si="64">AD219-AE219</f>
        <v>-0.2682851534736983</v>
      </c>
      <c r="AG219" s="59"/>
    </row>
    <row r="220" spans="2:33" x14ac:dyDescent="0.35">
      <c r="B220">
        <v>749</v>
      </c>
      <c r="C220" s="17">
        <v>8</v>
      </c>
      <c r="D220" s="22" t="s">
        <v>212</v>
      </c>
      <c r="E220" s="90">
        <v>25.180157901631535</v>
      </c>
      <c r="F220" s="90">
        <f>INDEX('Revised 2019 Lockdown'!H$5:H$257,MATCH(B220,'Revised 2019 Lockdown'!B$5:B$257,0))</f>
        <v>25.180157901631535</v>
      </c>
      <c r="G220" s="90">
        <f t="shared" si="57"/>
        <v>0</v>
      </c>
      <c r="H220" s="5">
        <v>4690.4399999999996</v>
      </c>
      <c r="I220" s="5">
        <f>INDEX('Revised 2019 Lockdown'!E$5:E$257,MATCH(B220,'Revised 2019 Lockdown'!B$5:B$257,0))</f>
        <v>4690.4399999999996</v>
      </c>
      <c r="J220" s="5">
        <f t="shared" si="58"/>
        <v>0</v>
      </c>
      <c r="K220" s="5">
        <v>0</v>
      </c>
      <c r="L220" s="5">
        <f>INDEX('Revised 2019 Lockdown'!F$5:F$257,MATCH(B220,'Revised 2019 Lockdown'!B$5:B$257,0))</f>
        <v>0</v>
      </c>
      <c r="M220" s="5">
        <f t="shared" si="59"/>
        <v>0</v>
      </c>
      <c r="N220" s="5">
        <v>4690.4399999999996</v>
      </c>
      <c r="O220" s="60">
        <f>INDEX('Revised 2019 Lockdown'!G$5:G$257,MATCH(B220,'Revised 2019 Lockdown'!B$5:B$257,0))</f>
        <v>4690.4399999999996</v>
      </c>
      <c r="P220" s="5">
        <f t="shared" si="60"/>
        <v>0</v>
      </c>
      <c r="Q220" s="58">
        <f t="shared" si="61"/>
        <v>186.27524173293946</v>
      </c>
      <c r="R220" s="6">
        <f t="shared" si="49"/>
        <v>186.27524173293946</v>
      </c>
      <c r="S220" s="5">
        <f t="shared" si="62"/>
        <v>4690.4399999999996</v>
      </c>
      <c r="T220" s="82">
        <v>0.33333333333333331</v>
      </c>
      <c r="U220" s="60">
        <f t="shared" si="50"/>
        <v>1081.7149982656865</v>
      </c>
      <c r="V220" s="60">
        <f t="shared" si="51"/>
        <v>1799.9196114571632</v>
      </c>
      <c r="W220" s="60">
        <f t="shared" si="52"/>
        <v>108.17149982656863</v>
      </c>
      <c r="X220" s="60">
        <f t="shared" si="53"/>
        <v>56.788846694709612</v>
      </c>
      <c r="Y220" s="60">
        <f t="shared" si="54"/>
        <v>3046.5949562441283</v>
      </c>
      <c r="Z220" s="63">
        <f t="shared" si="55"/>
        <v>0.64953287031581863</v>
      </c>
      <c r="AA220" s="59">
        <f t="shared" si="56"/>
        <v>3046.6904454048235</v>
      </c>
      <c r="AB220" s="60"/>
      <c r="AC220" s="59">
        <v>3052.7474415652537</v>
      </c>
      <c r="AD220" s="106">
        <f t="shared" si="63"/>
        <v>-6.056996160430117</v>
      </c>
      <c r="AE220" s="106">
        <v>-6.0371309785614358</v>
      </c>
      <c r="AF220" s="106">
        <f t="shared" si="64"/>
        <v>-1.9865181868681248E-2</v>
      </c>
      <c r="AG220" s="59"/>
    </row>
    <row r="221" spans="2:33" x14ac:dyDescent="0.35">
      <c r="B221">
        <v>764</v>
      </c>
      <c r="C221" s="17">
        <v>8</v>
      </c>
      <c r="D221" s="22" t="s">
        <v>213</v>
      </c>
      <c r="E221" s="90">
        <v>15.2</v>
      </c>
      <c r="F221" s="90">
        <f>INDEX('Revised 2019 Lockdown'!H$5:H$257,MATCH(B221,'Revised 2019 Lockdown'!B$5:B$257,0))</f>
        <v>15.2</v>
      </c>
      <c r="G221" s="90">
        <f t="shared" si="57"/>
        <v>0</v>
      </c>
      <c r="H221" s="5">
        <v>11682.68</v>
      </c>
      <c r="I221" s="5">
        <f>INDEX('Revised 2019 Lockdown'!E$5:E$257,MATCH(B221,'Revised 2019 Lockdown'!B$5:B$257,0))</f>
        <v>11682.68</v>
      </c>
      <c r="J221" s="5">
        <f t="shared" si="58"/>
        <v>0</v>
      </c>
      <c r="K221" s="5">
        <v>0</v>
      </c>
      <c r="L221" s="5">
        <f>INDEX('Revised 2019 Lockdown'!F$5:F$257,MATCH(B221,'Revised 2019 Lockdown'!B$5:B$257,0))</f>
        <v>0</v>
      </c>
      <c r="M221" s="5">
        <f t="shared" si="59"/>
        <v>0</v>
      </c>
      <c r="N221" s="5">
        <v>11682.68</v>
      </c>
      <c r="O221" s="60">
        <f>INDEX('Revised 2019 Lockdown'!G$5:G$257,MATCH(B221,'Revised 2019 Lockdown'!B$5:B$257,0))</f>
        <v>11682.68</v>
      </c>
      <c r="P221" s="5">
        <f t="shared" si="60"/>
        <v>0</v>
      </c>
      <c r="Q221" s="58">
        <f t="shared" si="61"/>
        <v>768.59736842105269</v>
      </c>
      <c r="R221" s="6">
        <f t="shared" si="49"/>
        <v>768.59736842105269</v>
      </c>
      <c r="S221" s="5">
        <f t="shared" si="62"/>
        <v>11682.68</v>
      </c>
      <c r="T221" s="82">
        <v>0.1388888888888889</v>
      </c>
      <c r="U221" s="60">
        <f t="shared" si="50"/>
        <v>2694.273922262852</v>
      </c>
      <c r="V221" s="60">
        <f t="shared" si="51"/>
        <v>1086.5213078102333</v>
      </c>
      <c r="W221" s="60">
        <f t="shared" si="52"/>
        <v>112.26141342761883</v>
      </c>
      <c r="X221" s="60">
        <f t="shared" si="53"/>
        <v>141.44641515579565</v>
      </c>
      <c r="Y221" s="60">
        <f t="shared" si="54"/>
        <v>4034.5030586564999</v>
      </c>
      <c r="Z221" s="63">
        <f t="shared" si="55"/>
        <v>0.3453405433219518</v>
      </c>
      <c r="AA221" s="59">
        <f t="shared" si="56"/>
        <v>4034.6295117349123</v>
      </c>
      <c r="AB221" s="60"/>
      <c r="AC221" s="59">
        <v>4044.8667920987746</v>
      </c>
      <c r="AD221" s="106">
        <f t="shared" si="63"/>
        <v>-10.237280363862283</v>
      </c>
      <c r="AE221" s="106">
        <v>-10.190279504083719</v>
      </c>
      <c r="AF221" s="106">
        <f t="shared" si="64"/>
        <v>-4.7000859778563608E-2</v>
      </c>
      <c r="AG221" s="59"/>
    </row>
    <row r="222" spans="2:33" x14ac:dyDescent="0.35">
      <c r="B222">
        <v>775</v>
      </c>
      <c r="C222" s="17">
        <v>8</v>
      </c>
      <c r="D222" s="22" t="s">
        <v>214</v>
      </c>
      <c r="E222" s="90">
        <v>138.16439494800289</v>
      </c>
      <c r="F222" s="90">
        <f>INDEX('Revised 2019 Lockdown'!H$5:H$257,MATCH(B222,'Revised 2019 Lockdown'!B$5:B$257,0))</f>
        <v>170.52697234009614</v>
      </c>
      <c r="G222" s="90">
        <f t="shared" si="57"/>
        <v>32.362577392093243</v>
      </c>
      <c r="H222" s="5">
        <v>103016.36</v>
      </c>
      <c r="I222" s="5">
        <f>INDEX('Revised 2019 Lockdown'!E$5:E$257,MATCH(B222,'Revised 2019 Lockdown'!B$5:B$257,0))</f>
        <v>118004.07</v>
      </c>
      <c r="J222" s="5">
        <f t="shared" si="58"/>
        <v>14987.710000000006</v>
      </c>
      <c r="K222" s="5">
        <v>0</v>
      </c>
      <c r="L222" s="5">
        <f>INDEX('Revised 2019 Lockdown'!F$5:F$257,MATCH(B222,'Revised 2019 Lockdown'!B$5:B$257,0))</f>
        <v>0</v>
      </c>
      <c r="M222" s="5">
        <f t="shared" si="59"/>
        <v>0</v>
      </c>
      <c r="N222" s="5">
        <v>103016.36</v>
      </c>
      <c r="O222" s="60">
        <f>INDEX('Revised 2019 Lockdown'!G$5:G$257,MATCH(B222,'Revised 2019 Lockdown'!B$5:B$257,0))</f>
        <v>118004.07</v>
      </c>
      <c r="P222" s="5">
        <f t="shared" si="60"/>
        <v>14987.710000000006</v>
      </c>
      <c r="Q222" s="58">
        <f t="shared" si="61"/>
        <v>691.99651164071963</v>
      </c>
      <c r="R222" s="6">
        <f t="shared" si="49"/>
        <v>691.99651164071963</v>
      </c>
      <c r="S222" s="5">
        <f t="shared" si="62"/>
        <v>118004.07</v>
      </c>
      <c r="T222" s="82">
        <v>0.7592592592592593</v>
      </c>
      <c r="U222" s="60">
        <f t="shared" si="50"/>
        <v>27214.24266708325</v>
      </c>
      <c r="V222" s="60">
        <f t="shared" si="51"/>
        <v>12189.55190815005</v>
      </c>
      <c r="W222" s="60">
        <f t="shared" si="52"/>
        <v>6198.7997186134071</v>
      </c>
      <c r="X222" s="60">
        <f t="shared" si="53"/>
        <v>1428.7177835302834</v>
      </c>
      <c r="Y222" s="60">
        <f t="shared" si="54"/>
        <v>47031.312077376999</v>
      </c>
      <c r="Z222" s="63">
        <f t="shared" si="55"/>
        <v>0.39855669450534204</v>
      </c>
      <c r="AA222" s="59">
        <f t="shared" si="56"/>
        <v>47032.786175700261</v>
      </c>
      <c r="AB222" s="60"/>
      <c r="AC222" s="59">
        <v>40397.741716526005</v>
      </c>
      <c r="AD222" s="106">
        <f t="shared" si="63"/>
        <v>6635.0444591742562</v>
      </c>
      <c r="AE222" s="106">
        <v>6635.6053364877298</v>
      </c>
      <c r="AF222" s="106">
        <f t="shared" si="64"/>
        <v>-0.56087731347361114</v>
      </c>
      <c r="AG222" s="59"/>
    </row>
    <row r="223" spans="2:33" x14ac:dyDescent="0.35">
      <c r="B223">
        <v>790</v>
      </c>
      <c r="C223" s="17">
        <v>8</v>
      </c>
      <c r="D223" s="22" t="s">
        <v>352</v>
      </c>
      <c r="E223" s="90">
        <v>9.7918986885088461</v>
      </c>
      <c r="F223" s="90">
        <f>INDEX('Revised 2019 Lockdown'!H$5:H$257,MATCH(B223,'Revised 2019 Lockdown'!B$5:B$257,0))</f>
        <v>9.7918986885088461</v>
      </c>
      <c r="G223" s="90">
        <f t="shared" si="57"/>
        <v>0</v>
      </c>
      <c r="H223" s="5">
        <v>8112.34</v>
      </c>
      <c r="I223" s="5">
        <f>INDEX('Revised 2019 Lockdown'!E$5:E$257,MATCH(B223,'Revised 2019 Lockdown'!B$5:B$257,0))</f>
        <v>8112.34</v>
      </c>
      <c r="J223" s="5">
        <f t="shared" si="58"/>
        <v>0</v>
      </c>
      <c r="K223" s="5">
        <v>0</v>
      </c>
      <c r="L223" s="5">
        <f>INDEX('Revised 2019 Lockdown'!F$5:F$257,MATCH(B223,'Revised 2019 Lockdown'!B$5:B$257,0))</f>
        <v>0</v>
      </c>
      <c r="M223" s="5">
        <f t="shared" si="59"/>
        <v>0</v>
      </c>
      <c r="N223" s="5">
        <v>8112.34</v>
      </c>
      <c r="O223" s="60">
        <f>INDEX('Revised 2019 Lockdown'!G$5:G$257,MATCH(B223,'Revised 2019 Lockdown'!B$5:B$257,0))</f>
        <v>8112.34</v>
      </c>
      <c r="P223" s="5">
        <f t="shared" si="60"/>
        <v>0</v>
      </c>
      <c r="Q223" s="58">
        <f t="shared" si="61"/>
        <v>828.47466646281077</v>
      </c>
      <c r="R223" s="6">
        <f t="shared" si="49"/>
        <v>828.47466646281077</v>
      </c>
      <c r="S223" s="5">
        <f t="shared" si="62"/>
        <v>8112.34</v>
      </c>
      <c r="T223" s="82">
        <v>0.24999999999999997</v>
      </c>
      <c r="U223" s="60">
        <f t="shared" si="50"/>
        <v>1870.8777532663589</v>
      </c>
      <c r="V223" s="60">
        <f t="shared" si="51"/>
        <v>699.94122164368036</v>
      </c>
      <c r="W223" s="60">
        <f t="shared" si="52"/>
        <v>140.31583149497689</v>
      </c>
      <c r="X223" s="60">
        <f t="shared" si="53"/>
        <v>98.219022649337944</v>
      </c>
      <c r="Y223" s="60">
        <f t="shared" si="54"/>
        <v>2809.3538290543543</v>
      </c>
      <c r="Z223" s="63">
        <f t="shared" si="55"/>
        <v>0.34630622348845763</v>
      </c>
      <c r="AA223" s="59">
        <f t="shared" si="56"/>
        <v>2809.4418823870369</v>
      </c>
      <c r="AB223" s="60"/>
      <c r="AC223" s="59">
        <v>2816.6649610338604</v>
      </c>
      <c r="AD223" s="106">
        <f t="shared" si="63"/>
        <v>-7.2230786468235237</v>
      </c>
      <c r="AE223" s="106">
        <v>-7.1891161736052709</v>
      </c>
      <c r="AF223" s="106">
        <f t="shared" si="64"/>
        <v>-3.3962473218252853E-2</v>
      </c>
      <c r="AG223" s="59"/>
    </row>
    <row r="224" spans="2:33" x14ac:dyDescent="0.35">
      <c r="B224">
        <v>795</v>
      </c>
      <c r="C224" s="17">
        <v>8</v>
      </c>
      <c r="D224" s="22" t="s">
        <v>353</v>
      </c>
      <c r="E224" s="90">
        <v>254.79365731271687</v>
      </c>
      <c r="F224" s="90">
        <f>INDEX('Revised 2019 Lockdown'!H$5:H$257,MATCH(B224,'Revised 2019 Lockdown'!B$5:B$257,0))</f>
        <v>254.70912293554989</v>
      </c>
      <c r="G224" s="90">
        <f t="shared" si="57"/>
        <v>-8.4534377166988861E-2</v>
      </c>
      <c r="H224" s="5">
        <v>272650.90000000002</v>
      </c>
      <c r="I224" s="5">
        <f>INDEX('Revised 2019 Lockdown'!E$5:E$257,MATCH(B224,'Revised 2019 Lockdown'!B$5:B$257,0))</f>
        <v>292287.77</v>
      </c>
      <c r="J224" s="5">
        <f t="shared" si="58"/>
        <v>19636.869999999995</v>
      </c>
      <c r="K224" s="5">
        <v>18454.21</v>
      </c>
      <c r="L224" s="5">
        <f>INDEX('Revised 2019 Lockdown'!F$5:F$257,MATCH(B224,'Revised 2019 Lockdown'!B$5:B$257,0))</f>
        <v>18326.8</v>
      </c>
      <c r="M224" s="5">
        <f t="shared" si="59"/>
        <v>-127.40999999999985</v>
      </c>
      <c r="N224" s="5">
        <v>254196.69000000003</v>
      </c>
      <c r="O224" s="60">
        <f>INDEX('Revised 2019 Lockdown'!G$5:G$257,MATCH(B224,'Revised 2019 Lockdown'!B$5:B$257,0))</f>
        <v>273960.97000000003</v>
      </c>
      <c r="P224" s="5">
        <f t="shared" si="60"/>
        <v>19764.28</v>
      </c>
      <c r="Q224" s="58">
        <f t="shared" si="61"/>
        <v>1075.5836573208314</v>
      </c>
      <c r="R224" s="6">
        <f t="shared" si="49"/>
        <v>1075.5836573208314</v>
      </c>
      <c r="S224" s="5">
        <f t="shared" si="62"/>
        <v>273960.97000000003</v>
      </c>
      <c r="T224" s="82">
        <v>0.6064814814814814</v>
      </c>
      <c r="U224" s="60">
        <f t="shared" si="50"/>
        <v>63181.213316536581</v>
      </c>
      <c r="V224" s="60">
        <f t="shared" si="51"/>
        <v>18207.03219494284</v>
      </c>
      <c r="W224" s="60">
        <f t="shared" si="52"/>
        <v>11495.470756203182</v>
      </c>
      <c r="X224" s="60">
        <f t="shared" si="53"/>
        <v>3316.9441514365267</v>
      </c>
      <c r="Y224" s="60">
        <f t="shared" si="54"/>
        <v>96200.660419119129</v>
      </c>
      <c r="Z224" s="63">
        <f t="shared" si="55"/>
        <v>0.35114732006942129</v>
      </c>
      <c r="AA224" s="59">
        <f t="shared" si="56"/>
        <v>96203.675628050303</v>
      </c>
      <c r="AB224" s="60"/>
      <c r="AC224" s="59">
        <v>90822.980949145072</v>
      </c>
      <c r="AD224" s="106">
        <f t="shared" si="63"/>
        <v>5380.6946789052308</v>
      </c>
      <c r="AE224" s="106">
        <v>5381.9461099714244</v>
      </c>
      <c r="AF224" s="106">
        <f t="shared" si="64"/>
        <v>-1.2514310661936179</v>
      </c>
      <c r="AG224" s="59"/>
    </row>
    <row r="225" spans="2:33" x14ac:dyDescent="0.35">
      <c r="B225">
        <v>796</v>
      </c>
      <c r="C225" s="17">
        <v>8</v>
      </c>
      <c r="D225" s="22" t="s">
        <v>217</v>
      </c>
      <c r="E225" s="90">
        <v>32</v>
      </c>
      <c r="F225" s="90">
        <f>INDEX('Revised 2019 Lockdown'!H$5:H$257,MATCH(B225,'Revised 2019 Lockdown'!B$5:B$257,0))</f>
        <v>32</v>
      </c>
      <c r="G225" s="90">
        <f t="shared" si="57"/>
        <v>0</v>
      </c>
      <c r="H225" s="5">
        <v>22596.76</v>
      </c>
      <c r="I225" s="5">
        <f>INDEX('Revised 2019 Lockdown'!E$5:E$257,MATCH(B225,'Revised 2019 Lockdown'!B$5:B$257,0))</f>
        <v>22596.76</v>
      </c>
      <c r="J225" s="5">
        <f t="shared" si="58"/>
        <v>0</v>
      </c>
      <c r="K225" s="5">
        <v>0</v>
      </c>
      <c r="L225" s="5">
        <f>INDEX('Revised 2019 Lockdown'!F$5:F$257,MATCH(B225,'Revised 2019 Lockdown'!B$5:B$257,0))</f>
        <v>0</v>
      </c>
      <c r="M225" s="5">
        <f t="shared" si="59"/>
        <v>0</v>
      </c>
      <c r="N225" s="5">
        <v>22596.76</v>
      </c>
      <c r="O225" s="60">
        <f>INDEX('Revised 2019 Lockdown'!G$5:G$257,MATCH(B225,'Revised 2019 Lockdown'!B$5:B$257,0))</f>
        <v>22596.76</v>
      </c>
      <c r="P225" s="5">
        <f t="shared" si="60"/>
        <v>0</v>
      </c>
      <c r="Q225" s="58">
        <f t="shared" si="61"/>
        <v>706.14874999999995</v>
      </c>
      <c r="R225" s="6">
        <f t="shared" si="49"/>
        <v>706.14874999999995</v>
      </c>
      <c r="S225" s="5">
        <f t="shared" si="62"/>
        <v>22596.76</v>
      </c>
      <c r="T225" s="82">
        <v>0.45833333333333337</v>
      </c>
      <c r="U225" s="60">
        <f t="shared" si="50"/>
        <v>5211.2923743209876</v>
      </c>
      <c r="V225" s="60">
        <f t="shared" si="51"/>
        <v>2287.4132796004915</v>
      </c>
      <c r="W225" s="60">
        <f t="shared" si="52"/>
        <v>716.55270146913585</v>
      </c>
      <c r="X225" s="60">
        <f t="shared" si="53"/>
        <v>273.58711324249884</v>
      </c>
      <c r="Y225" s="60">
        <f t="shared" si="54"/>
        <v>8488.8454686331133</v>
      </c>
      <c r="Z225" s="63">
        <f t="shared" si="55"/>
        <v>0.37566648796699675</v>
      </c>
      <c r="AA225" s="59">
        <f t="shared" si="56"/>
        <v>8489.1115337782048</v>
      </c>
      <c r="AB225" s="60"/>
      <c r="AC225" s="59">
        <v>8510.6322126311625</v>
      </c>
      <c r="AD225" s="106">
        <f t="shared" si="63"/>
        <v>-21.520678852957644</v>
      </c>
      <c r="AE225" s="106">
        <v>-21.421855282324032</v>
      </c>
      <c r="AF225" s="106">
        <f t="shared" si="64"/>
        <v>-9.882357063361269E-2</v>
      </c>
      <c r="AG225" s="59"/>
    </row>
    <row r="226" spans="2:33" x14ac:dyDescent="0.35">
      <c r="B226">
        <v>797</v>
      </c>
      <c r="C226" s="17">
        <v>8</v>
      </c>
      <c r="D226" s="22" t="s">
        <v>218</v>
      </c>
      <c r="E226" s="90">
        <v>24.367612903417886</v>
      </c>
      <c r="F226" s="90">
        <f>INDEX('Revised 2019 Lockdown'!H$5:H$257,MATCH(B226,'Revised 2019 Lockdown'!B$5:B$257,0))</f>
        <v>24.367612903417886</v>
      </c>
      <c r="G226" s="90">
        <f t="shared" si="57"/>
        <v>0</v>
      </c>
      <c r="H226" s="5">
        <v>39985.18</v>
      </c>
      <c r="I226" s="5">
        <f>INDEX('Revised 2019 Lockdown'!E$5:E$257,MATCH(B226,'Revised 2019 Lockdown'!B$5:B$257,0))</f>
        <v>39985.18</v>
      </c>
      <c r="J226" s="5">
        <f t="shared" si="58"/>
        <v>0</v>
      </c>
      <c r="K226" s="5">
        <v>1159</v>
      </c>
      <c r="L226" s="5">
        <f>INDEX('Revised 2019 Lockdown'!F$5:F$257,MATCH(B226,'Revised 2019 Lockdown'!B$5:B$257,0))</f>
        <v>1159</v>
      </c>
      <c r="M226" s="5">
        <f t="shared" si="59"/>
        <v>0</v>
      </c>
      <c r="N226" s="5">
        <v>38826.18</v>
      </c>
      <c r="O226" s="60">
        <f>INDEX('Revised 2019 Lockdown'!G$5:G$257,MATCH(B226,'Revised 2019 Lockdown'!B$5:B$257,0))</f>
        <v>38826.18</v>
      </c>
      <c r="P226" s="5">
        <f t="shared" si="60"/>
        <v>0</v>
      </c>
      <c r="Q226" s="58">
        <f t="shared" si="61"/>
        <v>1593.3518048685887</v>
      </c>
      <c r="R226" s="6">
        <f t="shared" si="49"/>
        <v>1593.3518048685887</v>
      </c>
      <c r="S226" s="5">
        <f t="shared" si="62"/>
        <v>38826.18</v>
      </c>
      <c r="T226" s="82">
        <v>0.1388888888888889</v>
      </c>
      <c r="U226" s="60">
        <f t="shared" si="50"/>
        <v>8954.1410254396669</v>
      </c>
      <c r="V226" s="60">
        <f t="shared" si="51"/>
        <v>1741.8375421075739</v>
      </c>
      <c r="W226" s="60">
        <f t="shared" si="52"/>
        <v>373.08920939331944</v>
      </c>
      <c r="X226" s="60">
        <f t="shared" si="53"/>
        <v>470.08254742864221</v>
      </c>
      <c r="Y226" s="60">
        <f t="shared" si="54"/>
        <v>11539.150324369204</v>
      </c>
      <c r="Z226" s="63">
        <f t="shared" si="55"/>
        <v>0.29720024798651845</v>
      </c>
      <c r="AA226" s="59">
        <f t="shared" si="56"/>
        <v>11539.511994954048</v>
      </c>
      <c r="AB226" s="60"/>
      <c r="AC226" s="59">
        <v>11571.122393137659</v>
      </c>
      <c r="AD226" s="106">
        <f t="shared" si="63"/>
        <v>-31.610398183611323</v>
      </c>
      <c r="AE226" s="106">
        <v>-31.454188771662302</v>
      </c>
      <c r="AF226" s="106">
        <f t="shared" si="64"/>
        <v>-0.15620941194902116</v>
      </c>
      <c r="AG226" s="59"/>
    </row>
    <row r="227" spans="2:33" x14ac:dyDescent="0.35">
      <c r="B227">
        <v>801</v>
      </c>
      <c r="C227" s="17">
        <v>8</v>
      </c>
      <c r="D227" s="22" t="s">
        <v>219</v>
      </c>
      <c r="E227" s="90">
        <v>135.0746846492795</v>
      </c>
      <c r="F227" s="90">
        <f>INDEX('Revised 2019 Lockdown'!H$5:H$257,MATCH(B227,'Revised 2019 Lockdown'!B$5:B$257,0))</f>
        <v>135.0746846492795</v>
      </c>
      <c r="G227" s="90">
        <f t="shared" si="57"/>
        <v>0</v>
      </c>
      <c r="H227" s="5">
        <v>96738.85</v>
      </c>
      <c r="I227" s="5">
        <f>INDEX('Revised 2019 Lockdown'!E$5:E$257,MATCH(B227,'Revised 2019 Lockdown'!B$5:B$257,0))</f>
        <v>96738.85</v>
      </c>
      <c r="J227" s="5">
        <f t="shared" si="58"/>
        <v>0</v>
      </c>
      <c r="K227" s="5">
        <v>0</v>
      </c>
      <c r="L227" s="5">
        <f>INDEX('Revised 2019 Lockdown'!F$5:F$257,MATCH(B227,'Revised 2019 Lockdown'!B$5:B$257,0))</f>
        <v>0</v>
      </c>
      <c r="M227" s="5">
        <f t="shared" si="59"/>
        <v>0</v>
      </c>
      <c r="N227" s="5">
        <v>96738.85</v>
      </c>
      <c r="O227" s="60">
        <f>INDEX('Revised 2019 Lockdown'!G$5:G$257,MATCH(B227,'Revised 2019 Lockdown'!B$5:B$257,0))</f>
        <v>96738.85</v>
      </c>
      <c r="P227" s="5">
        <f t="shared" si="60"/>
        <v>0</v>
      </c>
      <c r="Q227" s="58">
        <f t="shared" si="61"/>
        <v>716.18786489253534</v>
      </c>
      <c r="R227" s="6">
        <f t="shared" si="49"/>
        <v>716.18786489253534</v>
      </c>
      <c r="S227" s="5">
        <f t="shared" si="62"/>
        <v>96738.85</v>
      </c>
      <c r="T227" s="82">
        <v>0.61342592592592593</v>
      </c>
      <c r="U227" s="60">
        <f t="shared" si="50"/>
        <v>22310.031672929301</v>
      </c>
      <c r="V227" s="60">
        <f t="shared" si="51"/>
        <v>9655.3633563940803</v>
      </c>
      <c r="W227" s="60">
        <f t="shared" si="52"/>
        <v>4105.6655509210168</v>
      </c>
      <c r="X227" s="60">
        <f t="shared" si="53"/>
        <v>1171.2521047220537</v>
      </c>
      <c r="Y227" s="60">
        <f t="shared" si="54"/>
        <v>37242.312684966448</v>
      </c>
      <c r="Z227" s="63">
        <f t="shared" si="55"/>
        <v>0.38497783139831043</v>
      </c>
      <c r="AA227" s="59">
        <f t="shared" si="56"/>
        <v>37243.479967533283</v>
      </c>
      <c r="AB227" s="60"/>
      <c r="AC227" s="59">
        <v>37338.510582612682</v>
      </c>
      <c r="AD227" s="106">
        <f t="shared" si="63"/>
        <v>-95.030615079398558</v>
      </c>
      <c r="AE227" s="106">
        <v>-94.591090850110049</v>
      </c>
      <c r="AF227" s="106">
        <f t="shared" si="64"/>
        <v>-0.43952422928850865</v>
      </c>
      <c r="AG227" s="59"/>
    </row>
    <row r="228" spans="2:33" x14ac:dyDescent="0.35">
      <c r="B228">
        <v>810</v>
      </c>
      <c r="C228" s="17">
        <v>8</v>
      </c>
      <c r="D228" s="22" t="s">
        <v>221</v>
      </c>
      <c r="E228" s="90">
        <v>124.98999999999998</v>
      </c>
      <c r="F228" s="90">
        <f>INDEX('Revised 2019 Lockdown'!H$5:H$257,MATCH(B228,'Revised 2019 Lockdown'!B$5:B$257,0))</f>
        <v>124.98999999999998</v>
      </c>
      <c r="G228" s="90">
        <f t="shared" si="57"/>
        <v>0</v>
      </c>
      <c r="H228" s="5">
        <v>140596.89000000001</v>
      </c>
      <c r="I228" s="5">
        <f>INDEX('Revised 2019 Lockdown'!E$5:E$257,MATCH(B228,'Revised 2019 Lockdown'!B$5:B$257,0))</f>
        <v>140596.89000000001</v>
      </c>
      <c r="J228" s="5">
        <f t="shared" si="58"/>
        <v>0</v>
      </c>
      <c r="K228" s="5">
        <v>0</v>
      </c>
      <c r="L228" s="5">
        <f>INDEX('Revised 2019 Lockdown'!F$5:F$257,MATCH(B228,'Revised 2019 Lockdown'!B$5:B$257,0))</f>
        <v>0</v>
      </c>
      <c r="M228" s="5">
        <f t="shared" si="59"/>
        <v>0</v>
      </c>
      <c r="N228" s="5">
        <v>140596.89000000001</v>
      </c>
      <c r="O228" s="60">
        <f>INDEX('Revised 2019 Lockdown'!G$5:G$257,MATCH(B228,'Revised 2019 Lockdown'!B$5:B$257,0))</f>
        <v>140596.89000000001</v>
      </c>
      <c r="P228" s="5">
        <f t="shared" si="60"/>
        <v>0</v>
      </c>
      <c r="Q228" s="58">
        <f t="shared" si="61"/>
        <v>1124.8651092087371</v>
      </c>
      <c r="R228" s="6">
        <f t="shared" si="49"/>
        <v>1124.8651092087371</v>
      </c>
      <c r="S228" s="5">
        <f t="shared" si="62"/>
        <v>140596.89000000001</v>
      </c>
      <c r="T228" s="82">
        <v>0.6689814814814814</v>
      </c>
      <c r="U228" s="60">
        <f t="shared" si="50"/>
        <v>32424.626393794813</v>
      </c>
      <c r="V228" s="60">
        <f t="shared" si="51"/>
        <v>8934.4933067895436</v>
      </c>
      <c r="W228" s="60">
        <f t="shared" si="52"/>
        <v>6507.4423804213193</v>
      </c>
      <c r="X228" s="60">
        <f t="shared" si="53"/>
        <v>1702.2571937734951</v>
      </c>
      <c r="Y228" s="60">
        <f t="shared" si="54"/>
        <v>49568.819274779176</v>
      </c>
      <c r="Z228" s="63">
        <f t="shared" si="55"/>
        <v>0.35255985587433103</v>
      </c>
      <c r="AA228" s="59">
        <f t="shared" si="56"/>
        <v>49570.372905969794</v>
      </c>
      <c r="AB228" s="60"/>
      <c r="AC228" s="59">
        <v>49703.50884219884</v>
      </c>
      <c r="AD228" s="106">
        <f t="shared" si="63"/>
        <v>-133.13593622904591</v>
      </c>
      <c r="AE228" s="106">
        <v>-132.48856371060538</v>
      </c>
      <c r="AF228" s="106">
        <f t="shared" si="64"/>
        <v>-0.6473725184405339</v>
      </c>
      <c r="AG228" s="59"/>
    </row>
    <row r="229" spans="2:33" x14ac:dyDescent="0.35">
      <c r="B229">
        <v>812</v>
      </c>
      <c r="C229" s="17">
        <v>8</v>
      </c>
      <c r="D229" s="22" t="s">
        <v>222</v>
      </c>
      <c r="E229" s="90">
        <v>42.133342486310362</v>
      </c>
      <c r="F229" s="90">
        <f>INDEX('Revised 2019 Lockdown'!H$5:H$257,MATCH(B229,'Revised 2019 Lockdown'!B$5:B$257,0))</f>
        <v>42.133342486310362</v>
      </c>
      <c r="G229" s="90">
        <f t="shared" si="57"/>
        <v>0</v>
      </c>
      <c r="H229" s="5">
        <v>81577.919999999998</v>
      </c>
      <c r="I229" s="5">
        <f>INDEX('Revised 2019 Lockdown'!E$5:E$257,MATCH(B229,'Revised 2019 Lockdown'!B$5:B$257,0))</f>
        <v>81577.919999999998</v>
      </c>
      <c r="J229" s="5">
        <f t="shared" si="58"/>
        <v>0</v>
      </c>
      <c r="K229" s="5">
        <v>273</v>
      </c>
      <c r="L229" s="5">
        <f>INDEX('Revised 2019 Lockdown'!F$5:F$257,MATCH(B229,'Revised 2019 Lockdown'!B$5:B$257,0))</f>
        <v>273</v>
      </c>
      <c r="M229" s="5">
        <f t="shared" si="59"/>
        <v>0</v>
      </c>
      <c r="N229" s="5">
        <v>81304.92</v>
      </c>
      <c r="O229" s="60">
        <f>INDEX('Revised 2019 Lockdown'!G$5:G$257,MATCH(B229,'Revised 2019 Lockdown'!B$5:B$257,0))</f>
        <v>81304.92</v>
      </c>
      <c r="P229" s="5">
        <f t="shared" si="60"/>
        <v>0</v>
      </c>
      <c r="Q229" s="58">
        <f t="shared" si="61"/>
        <v>1929.7049605408581</v>
      </c>
      <c r="R229" s="6">
        <f t="shared" si="49"/>
        <v>1830.1017274062599</v>
      </c>
      <c r="S229" s="5">
        <f t="shared" si="62"/>
        <v>77108.302865596153</v>
      </c>
      <c r="T229" s="82">
        <v>0.52314814814814814</v>
      </c>
      <c r="U229" s="60">
        <f t="shared" si="50"/>
        <v>17782.810930430489</v>
      </c>
      <c r="V229" s="60">
        <f t="shared" si="51"/>
        <v>3011.7614724106843</v>
      </c>
      <c r="W229" s="60">
        <f t="shared" si="52"/>
        <v>2790.9133821370069</v>
      </c>
      <c r="X229" s="60">
        <f t="shared" si="53"/>
        <v>933.57799914796442</v>
      </c>
      <c r="Y229" s="60">
        <f t="shared" si="54"/>
        <v>24519.063784126141</v>
      </c>
      <c r="Z229" s="63">
        <f t="shared" si="55"/>
        <v>0.31798214813343983</v>
      </c>
      <c r="AA229" s="59">
        <f t="shared" si="56"/>
        <v>24519.832283009451</v>
      </c>
      <c r="AB229" s="60"/>
      <c r="AC229" s="59">
        <v>24595.527903264196</v>
      </c>
      <c r="AD229" s="106">
        <f t="shared" si="63"/>
        <v>-75.695620254744426</v>
      </c>
      <c r="AE229" s="106">
        <v>-75.342395460553234</v>
      </c>
      <c r="AF229" s="106">
        <f t="shared" si="64"/>
        <v>-0.3532247941911919</v>
      </c>
      <c r="AG229" s="59"/>
    </row>
    <row r="230" spans="2:33" x14ac:dyDescent="0.35">
      <c r="B230">
        <v>818</v>
      </c>
      <c r="C230" s="17">
        <v>8</v>
      </c>
      <c r="D230" s="22" t="s">
        <v>223</v>
      </c>
      <c r="E230" s="90">
        <v>39.648701095629384</v>
      </c>
      <c r="F230" s="90">
        <f>INDEX('Revised 2019 Lockdown'!H$5:H$257,MATCH(B230,'Revised 2019 Lockdown'!B$5:B$257,0))</f>
        <v>39.648701095629384</v>
      </c>
      <c r="G230" s="90">
        <f t="shared" si="57"/>
        <v>0</v>
      </c>
      <c r="H230" s="5">
        <v>15868.89</v>
      </c>
      <c r="I230" s="5">
        <f>INDEX('Revised 2019 Lockdown'!E$5:E$257,MATCH(B230,'Revised 2019 Lockdown'!B$5:B$257,0))</f>
        <v>15868.89</v>
      </c>
      <c r="J230" s="5">
        <f t="shared" si="58"/>
        <v>0</v>
      </c>
      <c r="K230" s="5">
        <v>0</v>
      </c>
      <c r="L230" s="5">
        <f>INDEX('Revised 2019 Lockdown'!F$5:F$257,MATCH(B230,'Revised 2019 Lockdown'!B$5:B$257,0))</f>
        <v>0</v>
      </c>
      <c r="M230" s="5">
        <f t="shared" si="59"/>
        <v>0</v>
      </c>
      <c r="N230" s="5">
        <v>15868.89</v>
      </c>
      <c r="O230" s="60">
        <f>INDEX('Revised 2019 Lockdown'!G$5:G$257,MATCH(B230,'Revised 2019 Lockdown'!B$5:B$257,0))</f>
        <v>15868.89</v>
      </c>
      <c r="P230" s="5">
        <f t="shared" si="60"/>
        <v>0</v>
      </c>
      <c r="Q230" s="58">
        <f t="shared" si="61"/>
        <v>400.23732332934566</v>
      </c>
      <c r="R230" s="6">
        <f t="shared" si="49"/>
        <v>400.23732332934566</v>
      </c>
      <c r="S230" s="5">
        <f t="shared" si="62"/>
        <v>15868.89</v>
      </c>
      <c r="T230" s="82">
        <v>0.29166666666666663</v>
      </c>
      <c r="U230" s="60">
        <f t="shared" si="50"/>
        <v>3659.7027824315778</v>
      </c>
      <c r="V230" s="60">
        <f t="shared" si="51"/>
        <v>2834.1551689079129</v>
      </c>
      <c r="W230" s="60">
        <f t="shared" si="52"/>
        <v>320.22399346276296</v>
      </c>
      <c r="X230" s="60">
        <f t="shared" si="53"/>
        <v>192.13036760415025</v>
      </c>
      <c r="Y230" s="60">
        <f t="shared" si="54"/>
        <v>7006.2123124064037</v>
      </c>
      <c r="Z230" s="63">
        <f t="shared" si="55"/>
        <v>0.44150613637163055</v>
      </c>
      <c r="AA230" s="59">
        <f t="shared" si="56"/>
        <v>7006.4319075094518</v>
      </c>
      <c r="AB230" s="60"/>
      <c r="AC230" s="59">
        <v>7022.5874200834187</v>
      </c>
      <c r="AD230" s="106">
        <f t="shared" si="63"/>
        <v>-16.155512573966917</v>
      </c>
      <c r="AE230" s="106">
        <v>-16.089016820655161</v>
      </c>
      <c r="AF230" s="106">
        <f t="shared" si="64"/>
        <v>-6.6495753311755834E-2</v>
      </c>
      <c r="AG230" s="59"/>
    </row>
    <row r="231" spans="2:33" x14ac:dyDescent="0.35">
      <c r="B231">
        <v>833</v>
      </c>
      <c r="C231" s="17">
        <v>8</v>
      </c>
      <c r="D231" s="22" t="s">
        <v>224</v>
      </c>
      <c r="E231" s="90">
        <v>61.805842122186505</v>
      </c>
      <c r="F231" s="90">
        <f>INDEX('Revised 2019 Lockdown'!H$5:H$257,MATCH(B231,'Revised 2019 Lockdown'!B$5:B$257,0))</f>
        <v>61.805842122186505</v>
      </c>
      <c r="G231" s="90">
        <f t="shared" si="57"/>
        <v>0</v>
      </c>
      <c r="H231" s="5">
        <v>37349.99</v>
      </c>
      <c r="I231" s="5">
        <f>INDEX('Revised 2019 Lockdown'!E$5:E$257,MATCH(B231,'Revised 2019 Lockdown'!B$5:B$257,0))</f>
        <v>37349.99</v>
      </c>
      <c r="J231" s="5">
        <f t="shared" si="58"/>
        <v>0</v>
      </c>
      <c r="K231" s="5">
        <v>0</v>
      </c>
      <c r="L231" s="5">
        <f>INDEX('Revised 2019 Lockdown'!F$5:F$257,MATCH(B231,'Revised 2019 Lockdown'!B$5:B$257,0))</f>
        <v>0</v>
      </c>
      <c r="M231" s="5">
        <f t="shared" si="59"/>
        <v>0</v>
      </c>
      <c r="N231" s="5">
        <v>37349.99</v>
      </c>
      <c r="O231" s="60">
        <f>INDEX('Revised 2019 Lockdown'!G$5:G$257,MATCH(B231,'Revised 2019 Lockdown'!B$5:B$257,0))</f>
        <v>37349.99</v>
      </c>
      <c r="P231" s="5">
        <f t="shared" si="60"/>
        <v>0</v>
      </c>
      <c r="Q231" s="58">
        <f t="shared" si="61"/>
        <v>604.31164300231148</v>
      </c>
      <c r="R231" s="6">
        <f t="shared" si="49"/>
        <v>604.31164300231148</v>
      </c>
      <c r="S231" s="5">
        <f t="shared" si="62"/>
        <v>37349.99</v>
      </c>
      <c r="T231" s="82">
        <v>0.31944444444444442</v>
      </c>
      <c r="U231" s="60">
        <f t="shared" si="50"/>
        <v>8613.7002857031348</v>
      </c>
      <c r="V231" s="60">
        <f t="shared" si="51"/>
        <v>4417.9845008494003</v>
      </c>
      <c r="W231" s="60">
        <f t="shared" si="52"/>
        <v>825.47961071321697</v>
      </c>
      <c r="X231" s="60">
        <f t="shared" si="53"/>
        <v>452.20978333779709</v>
      </c>
      <c r="Y231" s="60">
        <f t="shared" si="54"/>
        <v>14309.374180603549</v>
      </c>
      <c r="Z231" s="63">
        <f t="shared" si="55"/>
        <v>0.38311587715561768</v>
      </c>
      <c r="AA231" s="59">
        <f t="shared" si="56"/>
        <v>14309.82267807374</v>
      </c>
      <c r="AB231" s="60"/>
      <c r="AC231" s="59">
        <v>14345.152834355073</v>
      </c>
      <c r="AD231" s="106">
        <f t="shared" si="63"/>
        <v>-35.330156281332165</v>
      </c>
      <c r="AE231" s="106">
        <v>-35.172501902432487</v>
      </c>
      <c r="AF231" s="106">
        <f t="shared" si="64"/>
        <v>-0.1576543788996787</v>
      </c>
      <c r="AG231" s="59"/>
    </row>
    <row r="232" spans="2:33" x14ac:dyDescent="0.35">
      <c r="B232">
        <v>834</v>
      </c>
      <c r="C232" s="17">
        <v>8</v>
      </c>
      <c r="D232" s="22" t="s">
        <v>225</v>
      </c>
      <c r="E232" s="90">
        <v>74.23</v>
      </c>
      <c r="F232" s="90">
        <f>INDEX('Revised 2019 Lockdown'!H$5:H$257,MATCH(B232,'Revised 2019 Lockdown'!B$5:B$257,0))</f>
        <v>74.23</v>
      </c>
      <c r="G232" s="90">
        <f t="shared" si="57"/>
        <v>0</v>
      </c>
      <c r="H232" s="5">
        <v>55123.19</v>
      </c>
      <c r="I232" s="5">
        <f>INDEX('Revised 2019 Lockdown'!E$5:E$257,MATCH(B232,'Revised 2019 Lockdown'!B$5:B$257,0))</f>
        <v>55123.19</v>
      </c>
      <c r="J232" s="5">
        <f t="shared" si="58"/>
        <v>0</v>
      </c>
      <c r="K232" s="5">
        <v>3760.4799999999996</v>
      </c>
      <c r="L232" s="5">
        <f>INDEX('Revised 2019 Lockdown'!F$5:F$257,MATCH(B232,'Revised 2019 Lockdown'!B$5:B$257,0))</f>
        <v>3760.4799999999996</v>
      </c>
      <c r="M232" s="5">
        <f t="shared" si="59"/>
        <v>0</v>
      </c>
      <c r="N232" s="5">
        <v>51362.710000000006</v>
      </c>
      <c r="O232" s="60">
        <f>INDEX('Revised 2019 Lockdown'!G$5:G$257,MATCH(B232,'Revised 2019 Lockdown'!B$5:B$257,0))</f>
        <v>51362.710000000006</v>
      </c>
      <c r="P232" s="5">
        <f t="shared" si="60"/>
        <v>0</v>
      </c>
      <c r="Q232" s="58">
        <f t="shared" si="61"/>
        <v>691.94005119224039</v>
      </c>
      <c r="R232" s="6">
        <f t="shared" si="49"/>
        <v>691.94005119224039</v>
      </c>
      <c r="S232" s="5">
        <f t="shared" si="62"/>
        <v>51362.710000000006</v>
      </c>
      <c r="T232" s="82">
        <v>0.71064814814814814</v>
      </c>
      <c r="U232" s="60">
        <f t="shared" si="50"/>
        <v>11845.330876969105</v>
      </c>
      <c r="V232" s="60">
        <f t="shared" si="51"/>
        <v>5306.0839920232656</v>
      </c>
      <c r="W232" s="60">
        <f t="shared" si="52"/>
        <v>2525.3587355760519</v>
      </c>
      <c r="X232" s="60">
        <f t="shared" si="53"/>
        <v>621.86683211272907</v>
      </c>
      <c r="Y232" s="60">
        <f t="shared" si="54"/>
        <v>20298.640436681151</v>
      </c>
      <c r="Z232" s="63">
        <f t="shared" si="55"/>
        <v>0.39520189718730087</v>
      </c>
      <c r="AA232" s="59">
        <f t="shared" si="56"/>
        <v>20299.276655202611</v>
      </c>
      <c r="AB232" s="60"/>
      <c r="AC232" s="59">
        <v>20350.987921451284</v>
      </c>
      <c r="AD232" s="106">
        <f t="shared" si="63"/>
        <v>-51.711266248672473</v>
      </c>
      <c r="AE232" s="106">
        <v>-51.47242978968643</v>
      </c>
      <c r="AF232" s="106">
        <f t="shared" si="64"/>
        <v>-0.238836458986043</v>
      </c>
      <c r="AG232" s="59"/>
    </row>
    <row r="233" spans="2:33" x14ac:dyDescent="0.35">
      <c r="B233">
        <v>837</v>
      </c>
      <c r="C233" s="17">
        <v>8</v>
      </c>
      <c r="D233" s="22" t="s">
        <v>226</v>
      </c>
      <c r="E233" s="90">
        <v>176.99</v>
      </c>
      <c r="F233" s="90">
        <f>INDEX('Revised 2019 Lockdown'!H$5:H$257,MATCH(B233,'Revised 2019 Lockdown'!B$5:B$257,0))</f>
        <v>176.99</v>
      </c>
      <c r="G233" s="90">
        <f t="shared" si="57"/>
        <v>0</v>
      </c>
      <c r="H233" s="5">
        <v>142476.71</v>
      </c>
      <c r="I233" s="5">
        <f>INDEX('Revised 2019 Lockdown'!E$5:E$257,MATCH(B233,'Revised 2019 Lockdown'!B$5:B$257,0))</f>
        <v>142476.71</v>
      </c>
      <c r="J233" s="5">
        <f t="shared" si="58"/>
        <v>0</v>
      </c>
      <c r="K233" s="5">
        <v>0</v>
      </c>
      <c r="L233" s="5">
        <f>INDEX('Revised 2019 Lockdown'!F$5:F$257,MATCH(B233,'Revised 2019 Lockdown'!B$5:B$257,0))</f>
        <v>0</v>
      </c>
      <c r="M233" s="5">
        <f t="shared" si="59"/>
        <v>0</v>
      </c>
      <c r="N233" s="5">
        <v>142476.71</v>
      </c>
      <c r="O233" s="60">
        <f>INDEX('Revised 2019 Lockdown'!G$5:G$257,MATCH(B233,'Revised 2019 Lockdown'!B$5:B$257,0))</f>
        <v>142476.71</v>
      </c>
      <c r="P233" s="5">
        <f t="shared" si="60"/>
        <v>0</v>
      </c>
      <c r="Q233" s="58">
        <f t="shared" si="61"/>
        <v>804.99864399118587</v>
      </c>
      <c r="R233" s="6">
        <f t="shared" si="49"/>
        <v>804.99864399118587</v>
      </c>
      <c r="S233" s="5">
        <f t="shared" si="62"/>
        <v>142476.71</v>
      </c>
      <c r="T233" s="82">
        <v>0.56712962962962954</v>
      </c>
      <c r="U233" s="60">
        <f t="shared" si="50"/>
        <v>32858.152776829193</v>
      </c>
      <c r="V233" s="60">
        <f t="shared" si="51"/>
        <v>12651.539886140345</v>
      </c>
      <c r="W233" s="60">
        <f t="shared" si="52"/>
        <v>5590.4496043910767</v>
      </c>
      <c r="X233" s="60">
        <f t="shared" si="53"/>
        <v>1725.0168516720394</v>
      </c>
      <c r="Y233" s="60">
        <f t="shared" si="54"/>
        <v>52825.159119032651</v>
      </c>
      <c r="Z233" s="63">
        <f t="shared" si="55"/>
        <v>0.37076346807160732</v>
      </c>
      <c r="AA233" s="59">
        <f t="shared" si="56"/>
        <v>52826.814813399738</v>
      </c>
      <c r="AB233" s="60"/>
      <c r="AC233" s="59">
        <v>52963.398767659019</v>
      </c>
      <c r="AD233" s="106">
        <f t="shared" si="63"/>
        <v>-136.58395425928029</v>
      </c>
      <c r="AE233" s="106">
        <v>-135.94385081331711</v>
      </c>
      <c r="AF233" s="106">
        <f t="shared" si="64"/>
        <v>-0.64010344596317736</v>
      </c>
      <c r="AG233" s="59"/>
    </row>
    <row r="234" spans="2:33" x14ac:dyDescent="0.35">
      <c r="B234">
        <v>845</v>
      </c>
      <c r="C234" s="17">
        <v>8</v>
      </c>
      <c r="D234" s="22" t="s">
        <v>298</v>
      </c>
      <c r="E234" s="90">
        <v>4.1985407326268138</v>
      </c>
      <c r="F234" s="90">
        <f>INDEX('Revised 2019 Lockdown'!H$5:H$257,MATCH(B234,'Revised 2019 Lockdown'!B$5:B$257,0))</f>
        <v>4.1985407326268138</v>
      </c>
      <c r="G234" s="90">
        <f t="shared" si="57"/>
        <v>0</v>
      </c>
      <c r="H234" s="5">
        <v>8943.76</v>
      </c>
      <c r="I234" s="5">
        <f>INDEX('Revised 2019 Lockdown'!E$5:E$257,MATCH(B234,'Revised 2019 Lockdown'!B$5:B$257,0))</f>
        <v>8943.76</v>
      </c>
      <c r="J234" s="5">
        <f t="shared" si="58"/>
        <v>0</v>
      </c>
      <c r="K234" s="5">
        <v>0</v>
      </c>
      <c r="L234" s="5">
        <f>INDEX('Revised 2019 Lockdown'!F$5:F$257,MATCH(B234,'Revised 2019 Lockdown'!B$5:B$257,0))</f>
        <v>0</v>
      </c>
      <c r="M234" s="5">
        <f t="shared" si="59"/>
        <v>0</v>
      </c>
      <c r="N234" s="5">
        <v>8943.76</v>
      </c>
      <c r="O234" s="60">
        <f>INDEX('Revised 2019 Lockdown'!G$5:G$257,MATCH(B234,'Revised 2019 Lockdown'!B$5:B$257,0))</f>
        <v>8943.76</v>
      </c>
      <c r="P234" s="5">
        <f t="shared" si="60"/>
        <v>0</v>
      </c>
      <c r="Q234" s="58">
        <f t="shared" si="61"/>
        <v>2130.2067955416364</v>
      </c>
      <c r="R234" s="6">
        <f t="shared" si="49"/>
        <v>1830.1017274062599</v>
      </c>
      <c r="S234" s="5">
        <f t="shared" si="62"/>
        <v>7683.7566473658762</v>
      </c>
      <c r="T234" s="82">
        <v>0.30555555555555552</v>
      </c>
      <c r="U234" s="60">
        <f t="shared" si="50"/>
        <v>1772.0373373242887</v>
      </c>
      <c r="V234" s="60">
        <f t="shared" si="51"/>
        <v>300.11868208606722</v>
      </c>
      <c r="W234" s="60">
        <f t="shared" si="52"/>
        <v>162.43675592139311</v>
      </c>
      <c r="X234" s="60">
        <f t="shared" si="53"/>
        <v>93.030009612470622</v>
      </c>
      <c r="Y234" s="60">
        <f t="shared" si="54"/>
        <v>2327.6227849442198</v>
      </c>
      <c r="Z234" s="63">
        <f t="shared" si="55"/>
        <v>0.3029277073398946</v>
      </c>
      <c r="AA234" s="59">
        <f t="shared" si="56"/>
        <v>2327.695739422692</v>
      </c>
      <c r="AB234" s="60"/>
      <c r="AC234" s="59">
        <v>2334.856064940815</v>
      </c>
      <c r="AD234" s="106">
        <f t="shared" si="63"/>
        <v>-7.1603255181230452</v>
      </c>
      <c r="AE234" s="106">
        <v>-7.1270089694676244</v>
      </c>
      <c r="AF234" s="106">
        <f t="shared" si="64"/>
        <v>-3.3316548655420775E-2</v>
      </c>
      <c r="AG234" s="59"/>
    </row>
    <row r="235" spans="2:33" x14ac:dyDescent="0.35">
      <c r="B235">
        <v>847</v>
      </c>
      <c r="C235" s="17">
        <v>8</v>
      </c>
      <c r="D235" s="22" t="s">
        <v>227</v>
      </c>
      <c r="E235" s="90">
        <v>66.183100660950345</v>
      </c>
      <c r="F235" s="90">
        <f>INDEX('Revised 2019 Lockdown'!H$5:H$257,MATCH(B235,'Revised 2019 Lockdown'!B$5:B$257,0))</f>
        <v>66.183100660950345</v>
      </c>
      <c r="G235" s="90">
        <f t="shared" si="57"/>
        <v>0</v>
      </c>
      <c r="H235" s="5">
        <v>131761.98000000001</v>
      </c>
      <c r="I235" s="5">
        <f>INDEX('Revised 2019 Lockdown'!E$5:E$257,MATCH(B235,'Revised 2019 Lockdown'!B$5:B$257,0))</f>
        <v>131761.98000000001</v>
      </c>
      <c r="J235" s="5">
        <f t="shared" si="58"/>
        <v>0</v>
      </c>
      <c r="K235" s="5">
        <v>0</v>
      </c>
      <c r="L235" s="5">
        <f>INDEX('Revised 2019 Lockdown'!F$5:F$257,MATCH(B235,'Revised 2019 Lockdown'!B$5:B$257,0))</f>
        <v>0</v>
      </c>
      <c r="M235" s="5">
        <f t="shared" si="59"/>
        <v>0</v>
      </c>
      <c r="N235" s="5">
        <v>131761.98000000001</v>
      </c>
      <c r="O235" s="60">
        <f>INDEX('Revised 2019 Lockdown'!G$5:G$257,MATCH(B235,'Revised 2019 Lockdown'!B$5:B$257,0))</f>
        <v>131761.98000000001</v>
      </c>
      <c r="P235" s="5">
        <f t="shared" si="60"/>
        <v>0</v>
      </c>
      <c r="Q235" s="58">
        <f t="shared" si="61"/>
        <v>1990.8704591373553</v>
      </c>
      <c r="R235" s="6">
        <f t="shared" si="49"/>
        <v>1830.1017274062599</v>
      </c>
      <c r="S235" s="5">
        <f t="shared" si="62"/>
        <v>121121.80684470761</v>
      </c>
      <c r="T235" s="82">
        <v>0.24305555555555555</v>
      </c>
      <c r="U235" s="60">
        <f t="shared" si="50"/>
        <v>27933.258943928438</v>
      </c>
      <c r="V235" s="60">
        <f t="shared" si="51"/>
        <v>4730.8782292810583</v>
      </c>
      <c r="W235" s="60">
        <f t="shared" si="52"/>
        <v>2036.8001313281152</v>
      </c>
      <c r="X235" s="60">
        <f t="shared" si="53"/>
        <v>1466.4653465965516</v>
      </c>
      <c r="Y235" s="60">
        <f t="shared" si="54"/>
        <v>36167.402651134165</v>
      </c>
      <c r="Z235" s="63">
        <f t="shared" si="55"/>
        <v>0.29860355945238687</v>
      </c>
      <c r="AA235" s="59">
        <f t="shared" si="56"/>
        <v>36168.536242889313</v>
      </c>
      <c r="AB235" s="60"/>
      <c r="AC235" s="59">
        <v>36279.674424901918</v>
      </c>
      <c r="AD235" s="106">
        <f t="shared" si="63"/>
        <v>-111.13818201260437</v>
      </c>
      <c r="AE235" s="106">
        <v>-110.63893643413758</v>
      </c>
      <c r="AF235" s="106">
        <f t="shared" si="64"/>
        <v>-0.49924557846679818</v>
      </c>
      <c r="AG235" s="59"/>
    </row>
    <row r="236" spans="2:33" x14ac:dyDescent="0.35">
      <c r="B236">
        <v>866</v>
      </c>
      <c r="C236" s="17">
        <v>8</v>
      </c>
      <c r="D236" s="22" t="s">
        <v>228</v>
      </c>
      <c r="E236" s="90">
        <v>147.75213403001072</v>
      </c>
      <c r="F236" s="90">
        <f>INDEX('Revised 2019 Lockdown'!H$5:H$257,MATCH(B236,'Revised 2019 Lockdown'!B$5:B$257,0))</f>
        <v>147.75213403001072</v>
      </c>
      <c r="G236" s="90">
        <f t="shared" si="57"/>
        <v>0</v>
      </c>
      <c r="H236" s="5">
        <v>54975.040000000001</v>
      </c>
      <c r="I236" s="5">
        <f>INDEX('Revised 2019 Lockdown'!E$5:E$257,MATCH(B236,'Revised 2019 Lockdown'!B$5:B$257,0))</f>
        <v>54975.040000000001</v>
      </c>
      <c r="J236" s="5">
        <f t="shared" si="58"/>
        <v>0</v>
      </c>
      <c r="K236" s="5">
        <v>0</v>
      </c>
      <c r="L236" s="5">
        <f>INDEX('Revised 2019 Lockdown'!F$5:F$257,MATCH(B236,'Revised 2019 Lockdown'!B$5:B$257,0))</f>
        <v>0</v>
      </c>
      <c r="M236" s="5">
        <f t="shared" si="59"/>
        <v>0</v>
      </c>
      <c r="N236" s="5">
        <v>54975.040000000001</v>
      </c>
      <c r="O236" s="60">
        <f>INDEX('Revised 2019 Lockdown'!G$5:G$257,MATCH(B236,'Revised 2019 Lockdown'!B$5:B$257,0))</f>
        <v>54975.040000000001</v>
      </c>
      <c r="P236" s="5">
        <f t="shared" si="60"/>
        <v>0</v>
      </c>
      <c r="Q236" s="58">
        <f t="shared" si="61"/>
        <v>372.07611491305926</v>
      </c>
      <c r="R236" s="6">
        <f t="shared" si="49"/>
        <v>372.07611491305926</v>
      </c>
      <c r="S236" s="5">
        <f t="shared" si="62"/>
        <v>54975.040000000001</v>
      </c>
      <c r="T236" s="82">
        <v>0.8125</v>
      </c>
      <c r="U236" s="60">
        <f t="shared" si="50"/>
        <v>12678.410831021407</v>
      </c>
      <c r="V236" s="60">
        <f t="shared" si="51"/>
        <v>10561.568545923694</v>
      </c>
      <c r="W236" s="60">
        <f t="shared" si="52"/>
        <v>3090.362640061468</v>
      </c>
      <c r="X236" s="60">
        <f t="shared" si="53"/>
        <v>665.60261267504302</v>
      </c>
      <c r="Y236" s="60">
        <f t="shared" si="54"/>
        <v>26995.94462968161</v>
      </c>
      <c r="Z236" s="63">
        <f t="shared" si="55"/>
        <v>0.49105820804644451</v>
      </c>
      <c r="AA236" s="59">
        <f t="shared" si="56"/>
        <v>26996.790761225802</v>
      </c>
      <c r="AB236" s="60"/>
      <c r="AC236" s="59">
        <v>27059.587526089919</v>
      </c>
      <c r="AD236" s="106">
        <f t="shared" si="63"/>
        <v>-62.796764864116994</v>
      </c>
      <c r="AE236" s="106">
        <v>-62.535009701725357</v>
      </c>
      <c r="AF236" s="106">
        <f t="shared" si="64"/>
        <v>-0.26175516239163699</v>
      </c>
      <c r="AG236" s="59"/>
    </row>
    <row r="237" spans="2:33" x14ac:dyDescent="0.35">
      <c r="B237">
        <v>871</v>
      </c>
      <c r="C237" s="17">
        <v>8</v>
      </c>
      <c r="D237" s="22" t="s">
        <v>229</v>
      </c>
      <c r="E237" s="90">
        <v>12.214386102179351</v>
      </c>
      <c r="F237" s="90">
        <f>INDEX('Revised 2019 Lockdown'!H$5:H$257,MATCH(B237,'Revised 2019 Lockdown'!B$5:B$257,0))</f>
        <v>12.214386102179351</v>
      </c>
      <c r="G237" s="90">
        <f t="shared" si="57"/>
        <v>0</v>
      </c>
      <c r="H237" s="5">
        <v>12724.9</v>
      </c>
      <c r="I237" s="5">
        <f>INDEX('Revised 2019 Lockdown'!E$5:E$257,MATCH(B237,'Revised 2019 Lockdown'!B$5:B$257,0))</f>
        <v>12724.9</v>
      </c>
      <c r="J237" s="5">
        <f t="shared" si="58"/>
        <v>0</v>
      </c>
      <c r="K237" s="5">
        <v>0</v>
      </c>
      <c r="L237" s="5">
        <f>INDEX('Revised 2019 Lockdown'!F$5:F$257,MATCH(B237,'Revised 2019 Lockdown'!B$5:B$257,0))</f>
        <v>0</v>
      </c>
      <c r="M237" s="5">
        <f t="shared" si="59"/>
        <v>0</v>
      </c>
      <c r="N237" s="5">
        <v>12724.9</v>
      </c>
      <c r="O237" s="60">
        <f>INDEX('Revised 2019 Lockdown'!G$5:G$257,MATCH(B237,'Revised 2019 Lockdown'!B$5:B$257,0))</f>
        <v>12724.9</v>
      </c>
      <c r="P237" s="5">
        <f t="shared" si="60"/>
        <v>0</v>
      </c>
      <c r="Q237" s="58">
        <f t="shared" si="61"/>
        <v>1041.7961159529386</v>
      </c>
      <c r="R237" s="6">
        <f t="shared" si="49"/>
        <v>1041.7961159529386</v>
      </c>
      <c r="S237" s="5">
        <f t="shared" si="62"/>
        <v>12724.900000000001</v>
      </c>
      <c r="T237" s="82">
        <v>0.125</v>
      </c>
      <c r="U237" s="60">
        <f t="shared" si="50"/>
        <v>2934.6319708664937</v>
      </c>
      <c r="V237" s="60">
        <f t="shared" si="51"/>
        <v>873.10465538414792</v>
      </c>
      <c r="W237" s="60">
        <f t="shared" si="52"/>
        <v>110.0486989074935</v>
      </c>
      <c r="X237" s="60">
        <f t="shared" si="53"/>
        <v>154.0649481297086</v>
      </c>
      <c r="Y237" s="60">
        <f t="shared" si="54"/>
        <v>4071.8502732878437</v>
      </c>
      <c r="Z237" s="63">
        <f t="shared" si="55"/>
        <v>0.31999074831926722</v>
      </c>
      <c r="AA237" s="59">
        <f t="shared" si="56"/>
        <v>4071.9778969367553</v>
      </c>
      <c r="AB237" s="60"/>
      <c r="AC237" s="59">
        <v>4082.6917089093849</v>
      </c>
      <c r="AD237" s="106">
        <f t="shared" si="63"/>
        <v>-10.713811972629628</v>
      </c>
      <c r="AE237" s="106">
        <v>-10.662810768988038</v>
      </c>
      <c r="AF237" s="106">
        <f t="shared" si="64"/>
        <v>-5.1001203641590109E-2</v>
      </c>
      <c r="AG237" s="59"/>
    </row>
    <row r="238" spans="2:33" x14ac:dyDescent="0.35">
      <c r="B238">
        <v>873</v>
      </c>
      <c r="C238" s="17">
        <v>8</v>
      </c>
      <c r="D238" s="22" t="s">
        <v>230</v>
      </c>
      <c r="E238" s="90">
        <v>185.67000000000002</v>
      </c>
      <c r="F238" s="90">
        <f>INDEX('Revised 2019 Lockdown'!H$5:H$257,MATCH(B238,'Revised 2019 Lockdown'!B$5:B$257,0))</f>
        <v>185.67000000000002</v>
      </c>
      <c r="G238" s="90">
        <f t="shared" si="57"/>
        <v>0</v>
      </c>
      <c r="H238" s="5">
        <v>74605.5</v>
      </c>
      <c r="I238" s="5">
        <f>INDEX('Revised 2019 Lockdown'!E$5:E$257,MATCH(B238,'Revised 2019 Lockdown'!B$5:B$257,0))</f>
        <v>74605.5</v>
      </c>
      <c r="J238" s="5">
        <f t="shared" si="58"/>
        <v>0</v>
      </c>
      <c r="K238" s="5">
        <v>0</v>
      </c>
      <c r="L238" s="5">
        <f>INDEX('Revised 2019 Lockdown'!F$5:F$257,MATCH(B238,'Revised 2019 Lockdown'!B$5:B$257,0))</f>
        <v>0</v>
      </c>
      <c r="M238" s="5">
        <f t="shared" si="59"/>
        <v>0</v>
      </c>
      <c r="N238" s="5">
        <v>74605.5</v>
      </c>
      <c r="O238" s="60">
        <f>INDEX('Revised 2019 Lockdown'!G$5:G$257,MATCH(B238,'Revised 2019 Lockdown'!B$5:B$257,0))</f>
        <v>74605.5</v>
      </c>
      <c r="P238" s="5">
        <f t="shared" si="60"/>
        <v>0</v>
      </c>
      <c r="Q238" s="58">
        <f t="shared" si="61"/>
        <v>401.81774115365971</v>
      </c>
      <c r="R238" s="6">
        <f t="shared" si="49"/>
        <v>401.81774115365971</v>
      </c>
      <c r="S238" s="5">
        <f t="shared" si="62"/>
        <v>74605.5</v>
      </c>
      <c r="T238" s="82">
        <v>0.5368518518518518</v>
      </c>
      <c r="U238" s="60">
        <f t="shared" si="50"/>
        <v>17205.611478477644</v>
      </c>
      <c r="V238" s="60">
        <f t="shared" si="51"/>
        <v>13272.000738231978</v>
      </c>
      <c r="W238" s="60">
        <f t="shared" si="52"/>
        <v>2771.0593153392601</v>
      </c>
      <c r="X238" s="60">
        <f t="shared" si="53"/>
        <v>903.27566328151704</v>
      </c>
      <c r="Y238" s="60">
        <f t="shared" si="54"/>
        <v>34151.947195330395</v>
      </c>
      <c r="Z238" s="63">
        <f t="shared" si="55"/>
        <v>0.45776715115280231</v>
      </c>
      <c r="AA238" s="59">
        <f t="shared" si="56"/>
        <v>34153.017616840516</v>
      </c>
      <c r="AB238" s="60"/>
      <c r="AC238" s="59">
        <v>34232.652901342008</v>
      </c>
      <c r="AD238" s="106">
        <f t="shared" si="63"/>
        <v>-79.635284501491697</v>
      </c>
      <c r="AE238" s="106">
        <v>-79.302606606608606</v>
      </c>
      <c r="AF238" s="106">
        <f t="shared" si="64"/>
        <v>-0.33267789488309063</v>
      </c>
      <c r="AG238" s="59"/>
    </row>
    <row r="239" spans="2:33" x14ac:dyDescent="0.35">
      <c r="B239">
        <v>905</v>
      </c>
      <c r="C239" s="17">
        <v>8</v>
      </c>
      <c r="D239" s="22" t="s">
        <v>232</v>
      </c>
      <c r="E239" s="90">
        <v>93.093193074907703</v>
      </c>
      <c r="F239" s="90">
        <f>INDEX('Revised 2019 Lockdown'!H$5:H$257,MATCH(B239,'Revised 2019 Lockdown'!B$5:B$257,0))</f>
        <v>93.093193074907703</v>
      </c>
      <c r="G239" s="90">
        <f t="shared" si="57"/>
        <v>0</v>
      </c>
      <c r="H239" s="5">
        <v>62186.54</v>
      </c>
      <c r="I239" s="5">
        <f>INDEX('Revised 2019 Lockdown'!E$5:E$257,MATCH(B239,'Revised 2019 Lockdown'!B$5:B$257,0))</f>
        <v>62186.54</v>
      </c>
      <c r="J239" s="5">
        <f t="shared" si="58"/>
        <v>0</v>
      </c>
      <c r="K239" s="5">
        <v>0</v>
      </c>
      <c r="L239" s="5">
        <f>INDEX('Revised 2019 Lockdown'!F$5:F$257,MATCH(B239,'Revised 2019 Lockdown'!B$5:B$257,0))</f>
        <v>0</v>
      </c>
      <c r="M239" s="5">
        <f t="shared" si="59"/>
        <v>0</v>
      </c>
      <c r="N239" s="5">
        <v>62186.54</v>
      </c>
      <c r="O239" s="60">
        <f>INDEX('Revised 2019 Lockdown'!G$5:G$257,MATCH(B239,'Revised 2019 Lockdown'!B$5:B$257,0))</f>
        <v>62186.54</v>
      </c>
      <c r="P239" s="5">
        <f t="shared" si="60"/>
        <v>0</v>
      </c>
      <c r="Q239" s="58">
        <f t="shared" si="61"/>
        <v>668.00308321105092</v>
      </c>
      <c r="R239" s="6">
        <f t="shared" si="49"/>
        <v>668.00308321105092</v>
      </c>
      <c r="S239" s="5">
        <f t="shared" si="62"/>
        <v>62186.54</v>
      </c>
      <c r="T239" s="82">
        <v>0.27777777777777779</v>
      </c>
      <c r="U239" s="60">
        <f t="shared" si="50"/>
        <v>14341.535763862035</v>
      </c>
      <c r="V239" s="60">
        <f t="shared" si="51"/>
        <v>6654.4564399986375</v>
      </c>
      <c r="W239" s="60">
        <f t="shared" si="52"/>
        <v>1195.1279803218363</v>
      </c>
      <c r="X239" s="60">
        <f t="shared" si="53"/>
        <v>752.91484093910742</v>
      </c>
      <c r="Y239" s="60">
        <f t="shared" si="54"/>
        <v>22944.035025121619</v>
      </c>
      <c r="Z239" s="63">
        <f t="shared" si="55"/>
        <v>0.36895500256360331</v>
      </c>
      <c r="AA239" s="59">
        <f t="shared" si="56"/>
        <v>22944.754158015545</v>
      </c>
      <c r="AB239" s="60"/>
      <c r="AC239" s="59">
        <v>23002.14144892378</v>
      </c>
      <c r="AD239" s="106">
        <f t="shared" si="63"/>
        <v>-57.387290908234718</v>
      </c>
      <c r="AE239" s="106">
        <v>-57.127639860249474</v>
      </c>
      <c r="AF239" s="106">
        <f t="shared" si="64"/>
        <v>-0.25965104798524408</v>
      </c>
      <c r="AG239" s="59"/>
    </row>
    <row r="240" spans="2:33" x14ac:dyDescent="0.35">
      <c r="B240">
        <v>907</v>
      </c>
      <c r="C240" s="17">
        <v>8</v>
      </c>
      <c r="D240" s="22" t="s">
        <v>233</v>
      </c>
      <c r="E240" s="90">
        <v>19.623398559009171</v>
      </c>
      <c r="F240" s="90">
        <f>INDEX('Revised 2019 Lockdown'!H$5:H$257,MATCH(B240,'Revised 2019 Lockdown'!B$5:B$257,0))</f>
        <v>19.623398559009171</v>
      </c>
      <c r="G240" s="90">
        <f t="shared" si="57"/>
        <v>0</v>
      </c>
      <c r="H240" s="5">
        <v>20189.84</v>
      </c>
      <c r="I240" s="5">
        <f>INDEX('Revised 2019 Lockdown'!E$5:E$257,MATCH(B240,'Revised 2019 Lockdown'!B$5:B$257,0))</f>
        <v>20189.84</v>
      </c>
      <c r="J240" s="5">
        <f t="shared" si="58"/>
        <v>0</v>
      </c>
      <c r="K240" s="5">
        <v>0</v>
      </c>
      <c r="L240" s="5">
        <f>INDEX('Revised 2019 Lockdown'!F$5:F$257,MATCH(B240,'Revised 2019 Lockdown'!B$5:B$257,0))</f>
        <v>0</v>
      </c>
      <c r="M240" s="5">
        <f t="shared" si="59"/>
        <v>0</v>
      </c>
      <c r="N240" s="5">
        <v>20189.84</v>
      </c>
      <c r="O240" s="60">
        <f>INDEX('Revised 2019 Lockdown'!G$5:G$257,MATCH(B240,'Revised 2019 Lockdown'!B$5:B$257,0))</f>
        <v>20189.84</v>
      </c>
      <c r="P240" s="5">
        <f t="shared" si="60"/>
        <v>0</v>
      </c>
      <c r="Q240" s="58">
        <f t="shared" si="61"/>
        <v>1028.8656136340244</v>
      </c>
      <c r="R240" s="6">
        <f t="shared" si="49"/>
        <v>1028.8656136340244</v>
      </c>
      <c r="S240" s="5">
        <f t="shared" si="62"/>
        <v>20189.84</v>
      </c>
      <c r="T240" s="82">
        <v>0.24999999999999997</v>
      </c>
      <c r="U240" s="60">
        <f t="shared" si="50"/>
        <v>4656.2055458729865</v>
      </c>
      <c r="V240" s="60">
        <f t="shared" si="51"/>
        <v>1402.7132017115853</v>
      </c>
      <c r="W240" s="60">
        <f t="shared" si="52"/>
        <v>349.21541594047392</v>
      </c>
      <c r="X240" s="60">
        <f t="shared" si="53"/>
        <v>244.44566576924896</v>
      </c>
      <c r="Y240" s="60">
        <f t="shared" si="54"/>
        <v>6652.5798292942945</v>
      </c>
      <c r="Z240" s="63">
        <f t="shared" si="55"/>
        <v>0.32950136451275963</v>
      </c>
      <c r="AA240" s="59">
        <f t="shared" si="56"/>
        <v>6652.7883405251869</v>
      </c>
      <c r="AB240" s="60"/>
      <c r="AC240" s="59">
        <v>6670.3271409319823</v>
      </c>
      <c r="AD240" s="106">
        <f t="shared" si="63"/>
        <v>-17.538800406795417</v>
      </c>
      <c r="AE240" s="106">
        <v>-17.45511272904514</v>
      </c>
      <c r="AF240" s="106">
        <f t="shared" si="64"/>
        <v>-8.3687677750276634E-2</v>
      </c>
      <c r="AG240" s="59"/>
    </row>
    <row r="241" spans="2:33" x14ac:dyDescent="0.35">
      <c r="B241">
        <v>918</v>
      </c>
      <c r="C241" s="17">
        <v>8</v>
      </c>
      <c r="D241" s="22" t="s">
        <v>235</v>
      </c>
      <c r="E241" s="90">
        <v>61.65731239133023</v>
      </c>
      <c r="F241" s="90">
        <f>INDEX('Revised 2019 Lockdown'!H$5:H$257,MATCH(B241,'Revised 2019 Lockdown'!B$5:B$257,0))</f>
        <v>61.65731239133023</v>
      </c>
      <c r="G241" s="90">
        <f t="shared" si="57"/>
        <v>0</v>
      </c>
      <c r="H241" s="5">
        <v>92014.79</v>
      </c>
      <c r="I241" s="5">
        <f>INDEX('Revised 2019 Lockdown'!E$5:E$257,MATCH(B241,'Revised 2019 Lockdown'!B$5:B$257,0))</f>
        <v>92014.79</v>
      </c>
      <c r="J241" s="5">
        <f t="shared" si="58"/>
        <v>0</v>
      </c>
      <c r="K241" s="5">
        <v>0</v>
      </c>
      <c r="L241" s="5">
        <f>INDEX('Revised 2019 Lockdown'!F$5:F$257,MATCH(B241,'Revised 2019 Lockdown'!B$5:B$257,0))</f>
        <v>0</v>
      </c>
      <c r="M241" s="5">
        <f t="shared" si="59"/>
        <v>0</v>
      </c>
      <c r="N241" s="5">
        <v>92014.79</v>
      </c>
      <c r="O241" s="60">
        <f>INDEX('Revised 2019 Lockdown'!G$5:G$257,MATCH(B241,'Revised 2019 Lockdown'!B$5:B$257,0))</f>
        <v>92014.79</v>
      </c>
      <c r="P241" s="5">
        <f t="shared" si="60"/>
        <v>0</v>
      </c>
      <c r="Q241" s="58">
        <f t="shared" si="61"/>
        <v>1492.358106950805</v>
      </c>
      <c r="R241" s="6">
        <f t="shared" si="49"/>
        <v>1492.358106950805</v>
      </c>
      <c r="S241" s="5">
        <f t="shared" si="62"/>
        <v>92014.79</v>
      </c>
      <c r="T241" s="82">
        <v>0.37962962962962965</v>
      </c>
      <c r="U241" s="60">
        <f t="shared" si="50"/>
        <v>21220.563189224787</v>
      </c>
      <c r="V241" s="60">
        <f t="shared" si="51"/>
        <v>4407.3673483876464</v>
      </c>
      <c r="W241" s="60">
        <f t="shared" si="52"/>
        <v>2416.7863632172675</v>
      </c>
      <c r="X241" s="60">
        <f t="shared" si="53"/>
        <v>1114.0562085765725</v>
      </c>
      <c r="Y241" s="60">
        <f t="shared" si="54"/>
        <v>29158.773109406273</v>
      </c>
      <c r="Z241" s="63">
        <f t="shared" si="55"/>
        <v>0.31689224209940897</v>
      </c>
      <c r="AA241" s="59">
        <f t="shared" si="56"/>
        <v>29159.687030295365</v>
      </c>
      <c r="AB241" s="60"/>
      <c r="AC241" s="59">
        <v>29239.502652310093</v>
      </c>
      <c r="AD241" s="106">
        <f t="shared" si="63"/>
        <v>-79.815622014728433</v>
      </c>
      <c r="AE241" s="106">
        <v>-79.421131339884596</v>
      </c>
      <c r="AF241" s="106">
        <f t="shared" si="64"/>
        <v>-0.39449067484383704</v>
      </c>
      <c r="AG241" s="59"/>
    </row>
    <row r="242" spans="2:33" x14ac:dyDescent="0.35">
      <c r="B242">
        <v>922</v>
      </c>
      <c r="C242" s="17">
        <v>8</v>
      </c>
      <c r="D242" s="22" t="s">
        <v>236</v>
      </c>
      <c r="E242" s="90">
        <v>48.13</v>
      </c>
      <c r="F242" s="90">
        <f>INDEX('Revised 2019 Lockdown'!H$5:H$257,MATCH(B242,'Revised 2019 Lockdown'!B$5:B$257,0))</f>
        <v>48.13</v>
      </c>
      <c r="G242" s="90">
        <f t="shared" si="57"/>
        <v>0</v>
      </c>
      <c r="H242" s="5">
        <v>133724.62</v>
      </c>
      <c r="I242" s="5">
        <f>INDEX('Revised 2019 Lockdown'!E$5:E$257,MATCH(B242,'Revised 2019 Lockdown'!B$5:B$257,0))</f>
        <v>133724.62</v>
      </c>
      <c r="J242" s="5">
        <f t="shared" si="58"/>
        <v>0</v>
      </c>
      <c r="K242" s="5">
        <v>5755.5599999999995</v>
      </c>
      <c r="L242" s="5">
        <f>INDEX('Revised 2019 Lockdown'!F$5:F$257,MATCH(B242,'Revised 2019 Lockdown'!B$5:B$257,0))</f>
        <v>5755.5599999999995</v>
      </c>
      <c r="M242" s="5">
        <f t="shared" si="59"/>
        <v>0</v>
      </c>
      <c r="N242" s="5">
        <v>127969.06</v>
      </c>
      <c r="O242" s="60">
        <f>INDEX('Revised 2019 Lockdown'!G$5:G$257,MATCH(B242,'Revised 2019 Lockdown'!B$5:B$257,0))</f>
        <v>127969.06</v>
      </c>
      <c r="P242" s="5">
        <f t="shared" si="60"/>
        <v>0</v>
      </c>
      <c r="Q242" s="58">
        <f t="shared" si="61"/>
        <v>2658.8211094951171</v>
      </c>
      <c r="R242" s="6">
        <f t="shared" si="49"/>
        <v>1830.1017274062599</v>
      </c>
      <c r="S242" s="5">
        <f t="shared" si="62"/>
        <v>88082.796140063292</v>
      </c>
      <c r="T242" s="82">
        <v>0.19907407407407407</v>
      </c>
      <c r="U242" s="60">
        <f t="shared" si="50"/>
        <v>20313.761965590729</v>
      </c>
      <c r="V242" s="60">
        <f t="shared" si="51"/>
        <v>3440.4125358491146</v>
      </c>
      <c r="W242" s="60">
        <f t="shared" si="52"/>
        <v>1213.1830062783351</v>
      </c>
      <c r="X242" s="60">
        <f t="shared" si="53"/>
        <v>1066.4501425110254</v>
      </c>
      <c r="Y242" s="60">
        <f t="shared" si="54"/>
        <v>26033.807650229202</v>
      </c>
      <c r="Z242" s="63">
        <f t="shared" si="55"/>
        <v>0.29556064056858511</v>
      </c>
      <c r="AA242" s="59">
        <f t="shared" si="56"/>
        <v>26034.623625597742</v>
      </c>
      <c r="AB242" s="60"/>
      <c r="AC242" s="59">
        <v>26114.559425237097</v>
      </c>
      <c r="AD242" s="106">
        <f t="shared" si="63"/>
        <v>-79.935799639355537</v>
      </c>
      <c r="AE242" s="106">
        <v>-79.576967317352683</v>
      </c>
      <c r="AF242" s="106">
        <f t="shared" si="64"/>
        <v>-0.3588323220028542</v>
      </c>
      <c r="AG242" s="59"/>
    </row>
    <row r="243" spans="2:33" x14ac:dyDescent="0.35">
      <c r="B243">
        <v>924</v>
      </c>
      <c r="C243" s="17">
        <v>8</v>
      </c>
      <c r="D243" s="22" t="s">
        <v>237</v>
      </c>
      <c r="E243" s="90">
        <v>94.709546028343453</v>
      </c>
      <c r="F243" s="90">
        <f>INDEX('Revised 2019 Lockdown'!H$5:H$257,MATCH(B243,'Revised 2019 Lockdown'!B$5:B$257,0))</f>
        <v>94.709546028343453</v>
      </c>
      <c r="G243" s="90">
        <f t="shared" si="57"/>
        <v>0</v>
      </c>
      <c r="H243" s="5">
        <v>60061.57</v>
      </c>
      <c r="I243" s="5">
        <f>INDEX('Revised 2019 Lockdown'!E$5:E$257,MATCH(B243,'Revised 2019 Lockdown'!B$5:B$257,0))</f>
        <v>60061.57</v>
      </c>
      <c r="J243" s="5">
        <f t="shared" si="58"/>
        <v>0</v>
      </c>
      <c r="K243" s="5">
        <v>0</v>
      </c>
      <c r="L243" s="5">
        <f>INDEX('Revised 2019 Lockdown'!F$5:F$257,MATCH(B243,'Revised 2019 Lockdown'!B$5:B$257,0))</f>
        <v>0</v>
      </c>
      <c r="M243" s="5">
        <f t="shared" si="59"/>
        <v>0</v>
      </c>
      <c r="N243" s="5">
        <v>60061.57</v>
      </c>
      <c r="O243" s="60">
        <f>INDEX('Revised 2019 Lockdown'!G$5:G$257,MATCH(B243,'Revised 2019 Lockdown'!B$5:B$257,0))</f>
        <v>60061.57</v>
      </c>
      <c r="P243" s="5">
        <f t="shared" si="60"/>
        <v>0</v>
      </c>
      <c r="Q243" s="58">
        <f t="shared" si="61"/>
        <v>634.1659581181558</v>
      </c>
      <c r="R243" s="6">
        <f t="shared" si="49"/>
        <v>634.1659581181558</v>
      </c>
      <c r="S243" s="5">
        <f t="shared" si="62"/>
        <v>60061.570000000007</v>
      </c>
      <c r="T243" s="82">
        <v>0.38425925925925919</v>
      </c>
      <c r="U243" s="60">
        <f t="shared" si="50"/>
        <v>13851.472588581119</v>
      </c>
      <c r="V243" s="60">
        <f t="shared" si="51"/>
        <v>6769.996040317712</v>
      </c>
      <c r="W243" s="60">
        <f t="shared" si="52"/>
        <v>1596.7669789614342</v>
      </c>
      <c r="X243" s="60">
        <f t="shared" si="53"/>
        <v>727.18706368135418</v>
      </c>
      <c r="Y243" s="60">
        <f t="shared" si="54"/>
        <v>22945.422671541619</v>
      </c>
      <c r="Z243" s="63">
        <f t="shared" si="55"/>
        <v>0.3820316830136411</v>
      </c>
      <c r="AA243" s="59">
        <f t="shared" si="56"/>
        <v>22946.141847928426</v>
      </c>
      <c r="AB243" s="60"/>
      <c r="AC243" s="59">
        <v>23003.321793159921</v>
      </c>
      <c r="AD243" s="106">
        <f t="shared" si="63"/>
        <v>-57.179945231495367</v>
      </c>
      <c r="AE243" s="106">
        <v>-56.922155599746475</v>
      </c>
      <c r="AF243" s="106">
        <f t="shared" si="64"/>
        <v>-0.25778963174889213</v>
      </c>
      <c r="AG243" s="59"/>
    </row>
    <row r="244" spans="2:33" x14ac:dyDescent="0.35">
      <c r="B244">
        <v>929</v>
      </c>
      <c r="C244" s="17">
        <v>8</v>
      </c>
      <c r="D244" s="22" t="s">
        <v>238</v>
      </c>
      <c r="E244" s="90">
        <v>53.697866226033099</v>
      </c>
      <c r="F244" s="90">
        <f>INDEX('Revised 2019 Lockdown'!H$5:H$257,MATCH(B244,'Revised 2019 Lockdown'!B$5:B$257,0))</f>
        <v>53.697866226033099</v>
      </c>
      <c r="G244" s="90">
        <f t="shared" si="57"/>
        <v>0</v>
      </c>
      <c r="H244" s="5">
        <v>45278.1</v>
      </c>
      <c r="I244" s="5">
        <f>INDEX('Revised 2019 Lockdown'!E$5:E$257,MATCH(B244,'Revised 2019 Lockdown'!B$5:B$257,0))</f>
        <v>45278.1</v>
      </c>
      <c r="J244" s="5">
        <f t="shared" si="58"/>
        <v>0</v>
      </c>
      <c r="K244" s="5">
        <v>0</v>
      </c>
      <c r="L244" s="5">
        <f>INDEX('Revised 2019 Lockdown'!F$5:F$257,MATCH(B244,'Revised 2019 Lockdown'!B$5:B$257,0))</f>
        <v>0</v>
      </c>
      <c r="M244" s="5">
        <f t="shared" si="59"/>
        <v>0</v>
      </c>
      <c r="N244" s="5">
        <v>45278.1</v>
      </c>
      <c r="O244" s="60">
        <f>INDEX('Revised 2019 Lockdown'!G$5:G$257,MATCH(B244,'Revised 2019 Lockdown'!B$5:B$257,0))</f>
        <v>45278.1</v>
      </c>
      <c r="P244" s="5">
        <f t="shared" si="60"/>
        <v>0</v>
      </c>
      <c r="Q244" s="58">
        <f t="shared" si="61"/>
        <v>843.20110243130785</v>
      </c>
      <c r="R244" s="6">
        <f t="shared" si="49"/>
        <v>843.20110243130785</v>
      </c>
      <c r="S244" s="5">
        <f t="shared" si="62"/>
        <v>45278.1</v>
      </c>
      <c r="T244" s="82">
        <v>0.39814814814814814</v>
      </c>
      <c r="U244" s="60">
        <f t="shared" si="50"/>
        <v>10442.090691485997</v>
      </c>
      <c r="V244" s="60">
        <f t="shared" si="51"/>
        <v>3838.412884113714</v>
      </c>
      <c r="W244" s="60">
        <f t="shared" si="52"/>
        <v>1247.2497214830496</v>
      </c>
      <c r="X244" s="60">
        <f t="shared" si="53"/>
        <v>548.19826701284558</v>
      </c>
      <c r="Y244" s="60">
        <f t="shared" si="54"/>
        <v>16075.951564095605</v>
      </c>
      <c r="Z244" s="63">
        <f t="shared" si="55"/>
        <v>0.35504916425591193</v>
      </c>
      <c r="AA244" s="59">
        <f t="shared" si="56"/>
        <v>16076.455431247057</v>
      </c>
      <c r="AB244" s="60"/>
      <c r="AC244" s="59">
        <v>16118.057283152975</v>
      </c>
      <c r="AD244" s="106">
        <f t="shared" si="63"/>
        <v>-41.601851905918011</v>
      </c>
      <c r="AE244" s="106">
        <v>-41.40682004854898</v>
      </c>
      <c r="AF244" s="106">
        <f t="shared" si="64"/>
        <v>-0.19503185736903106</v>
      </c>
      <c r="AG244" s="59"/>
    </row>
    <row r="245" spans="2:33" x14ac:dyDescent="0.35">
      <c r="B245">
        <v>955</v>
      </c>
      <c r="C245" s="17">
        <v>8</v>
      </c>
      <c r="D245" s="22" t="s">
        <v>239</v>
      </c>
      <c r="E245" s="90">
        <v>50.276820820063051</v>
      </c>
      <c r="F245" s="90">
        <f>INDEX('Revised 2019 Lockdown'!H$5:H$257,MATCH(B245,'Revised 2019 Lockdown'!B$5:B$257,0))</f>
        <v>50.276820820063051</v>
      </c>
      <c r="G245" s="90">
        <f t="shared" si="57"/>
        <v>0</v>
      </c>
      <c r="H245" s="5">
        <v>25073.62</v>
      </c>
      <c r="I245" s="5">
        <f>INDEX('Revised 2019 Lockdown'!E$5:E$257,MATCH(B245,'Revised 2019 Lockdown'!B$5:B$257,0))</f>
        <v>25073.62</v>
      </c>
      <c r="J245" s="5">
        <f t="shared" si="58"/>
        <v>0</v>
      </c>
      <c r="K245" s="5">
        <v>0</v>
      </c>
      <c r="L245" s="5">
        <f>INDEX('Revised 2019 Lockdown'!F$5:F$257,MATCH(B245,'Revised 2019 Lockdown'!B$5:B$257,0))</f>
        <v>0</v>
      </c>
      <c r="M245" s="5">
        <f t="shared" si="59"/>
        <v>0</v>
      </c>
      <c r="N245" s="5">
        <v>25073.62</v>
      </c>
      <c r="O245" s="60">
        <f>INDEX('Revised 2019 Lockdown'!G$5:G$257,MATCH(B245,'Revised 2019 Lockdown'!B$5:B$257,0))</f>
        <v>25073.62</v>
      </c>
      <c r="P245" s="5">
        <f t="shared" si="60"/>
        <v>0</v>
      </c>
      <c r="Q245" s="58">
        <f t="shared" si="61"/>
        <v>498.71132643284255</v>
      </c>
      <c r="R245" s="6">
        <f t="shared" si="49"/>
        <v>498.71132643284255</v>
      </c>
      <c r="S245" s="5">
        <f t="shared" si="62"/>
        <v>25073.62</v>
      </c>
      <c r="T245" s="82">
        <v>0.16666666666666666</v>
      </c>
      <c r="U245" s="60">
        <f t="shared" si="50"/>
        <v>5782.5088509424459</v>
      </c>
      <c r="V245" s="60">
        <f t="shared" si="51"/>
        <v>3593.8708624970841</v>
      </c>
      <c r="W245" s="60">
        <f t="shared" si="52"/>
        <v>289.12544254712225</v>
      </c>
      <c r="X245" s="60">
        <f t="shared" si="53"/>
        <v>303.57534948989968</v>
      </c>
      <c r="Y245" s="60">
        <f t="shared" si="54"/>
        <v>9969.0805054765515</v>
      </c>
      <c r="Z245" s="63">
        <f t="shared" si="55"/>
        <v>0.39759239014855263</v>
      </c>
      <c r="AA245" s="59">
        <f t="shared" si="56"/>
        <v>9969.3929654996391</v>
      </c>
      <c r="AB245" s="60"/>
      <c r="AC245" s="59">
        <v>9993.1358168413135</v>
      </c>
      <c r="AD245" s="106">
        <f t="shared" si="63"/>
        <v>-23.742851341674395</v>
      </c>
      <c r="AE245" s="106">
        <v>-23.639487683925836</v>
      </c>
      <c r="AF245" s="106">
        <f t="shared" si="64"/>
        <v>-0.10336365774855949</v>
      </c>
      <c r="AG245" s="59"/>
    </row>
    <row r="246" spans="2:33" x14ac:dyDescent="0.35">
      <c r="B246">
        <v>973</v>
      </c>
      <c r="C246" s="17">
        <v>8</v>
      </c>
      <c r="D246" s="22" t="s">
        <v>240</v>
      </c>
      <c r="E246" s="90">
        <v>8.1012111451691897</v>
      </c>
      <c r="F246" s="90">
        <f>INDEX('Revised 2019 Lockdown'!H$5:H$257,MATCH(B246,'Revised 2019 Lockdown'!B$5:B$257,0))</f>
        <v>8.1012111451691897</v>
      </c>
      <c r="G246" s="90">
        <f t="shared" si="57"/>
        <v>0</v>
      </c>
      <c r="H246" s="5">
        <v>8741.84</v>
      </c>
      <c r="I246" s="5">
        <f>INDEX('Revised 2019 Lockdown'!E$5:E$257,MATCH(B246,'Revised 2019 Lockdown'!B$5:B$257,0))</f>
        <v>8741.84</v>
      </c>
      <c r="J246" s="5">
        <f t="shared" si="58"/>
        <v>0</v>
      </c>
      <c r="K246" s="5">
        <v>0</v>
      </c>
      <c r="L246" s="5">
        <f>INDEX('Revised 2019 Lockdown'!F$5:F$257,MATCH(B246,'Revised 2019 Lockdown'!B$5:B$257,0))</f>
        <v>0</v>
      </c>
      <c r="M246" s="5">
        <f t="shared" si="59"/>
        <v>0</v>
      </c>
      <c r="N246" s="5">
        <v>8741.84</v>
      </c>
      <c r="O246" s="60">
        <f>INDEX('Revised 2019 Lockdown'!G$5:G$257,MATCH(B246,'Revised 2019 Lockdown'!B$5:B$257,0))</f>
        <v>8741.84</v>
      </c>
      <c r="P246" s="5">
        <f t="shared" si="60"/>
        <v>0</v>
      </c>
      <c r="Q246" s="58">
        <f t="shared" si="61"/>
        <v>1079.0781579878735</v>
      </c>
      <c r="R246" s="6">
        <f t="shared" si="49"/>
        <v>1079.0781579878735</v>
      </c>
      <c r="S246" s="5">
        <f t="shared" si="62"/>
        <v>8741.84</v>
      </c>
      <c r="T246" s="82">
        <v>0.1875</v>
      </c>
      <c r="U246" s="60">
        <f t="shared" si="50"/>
        <v>2016.0538116762841</v>
      </c>
      <c r="V246" s="60">
        <f t="shared" si="51"/>
        <v>579.08806107210967</v>
      </c>
      <c r="W246" s="60">
        <f t="shared" si="52"/>
        <v>113.40302690679098</v>
      </c>
      <c r="X246" s="60">
        <f t="shared" si="53"/>
        <v>105.84060591110436</v>
      </c>
      <c r="Y246" s="60">
        <f t="shared" si="54"/>
        <v>2814.3855055662893</v>
      </c>
      <c r="Z246" s="63">
        <f t="shared" si="55"/>
        <v>0.32194429382902107</v>
      </c>
      <c r="AA246" s="59">
        <f t="shared" si="56"/>
        <v>2814.4737166063715</v>
      </c>
      <c r="AB246" s="60"/>
      <c r="AC246" s="59">
        <v>2821.9192260931823</v>
      </c>
      <c r="AD246" s="106">
        <f t="shared" si="63"/>
        <v>-7.4455094868108063</v>
      </c>
      <c r="AE246" s="106">
        <v>-7.4095943601091676</v>
      </c>
      <c r="AF246" s="106">
        <f t="shared" si="64"/>
        <v>-3.5915126701638656E-2</v>
      </c>
      <c r="AG246" s="59"/>
    </row>
    <row r="247" spans="2:33" x14ac:dyDescent="0.35">
      <c r="B247">
        <v>974</v>
      </c>
      <c r="C247" s="17">
        <v>8</v>
      </c>
      <c r="D247" s="22" t="s">
        <v>241</v>
      </c>
      <c r="E247" s="90">
        <v>17.47</v>
      </c>
      <c r="F247" s="90">
        <f>INDEX('Revised 2019 Lockdown'!H$5:H$257,MATCH(B247,'Revised 2019 Lockdown'!B$5:B$257,0))</f>
        <v>17.47</v>
      </c>
      <c r="G247" s="90">
        <f t="shared" si="57"/>
        <v>0</v>
      </c>
      <c r="H247" s="5">
        <v>15310.94</v>
      </c>
      <c r="I247" s="5">
        <f>INDEX('Revised 2019 Lockdown'!E$5:E$257,MATCH(B247,'Revised 2019 Lockdown'!B$5:B$257,0))</f>
        <v>15310.94</v>
      </c>
      <c r="J247" s="5">
        <f t="shared" si="58"/>
        <v>0</v>
      </c>
      <c r="K247" s="5">
        <v>0</v>
      </c>
      <c r="L247" s="5">
        <f>INDEX('Revised 2019 Lockdown'!F$5:F$257,MATCH(B247,'Revised 2019 Lockdown'!B$5:B$257,0))</f>
        <v>0</v>
      </c>
      <c r="M247" s="5">
        <f t="shared" si="59"/>
        <v>0</v>
      </c>
      <c r="N247" s="5">
        <v>15310.94</v>
      </c>
      <c r="O247" s="60">
        <f>INDEX('Revised 2019 Lockdown'!G$5:G$257,MATCH(B247,'Revised 2019 Lockdown'!B$5:B$257,0))</f>
        <v>15310.94</v>
      </c>
      <c r="P247" s="5">
        <f t="shared" si="60"/>
        <v>0</v>
      </c>
      <c r="Q247" s="58">
        <f t="shared" si="61"/>
        <v>876.41327990841455</v>
      </c>
      <c r="R247" s="6">
        <f t="shared" si="49"/>
        <v>876.41327990841455</v>
      </c>
      <c r="S247" s="5">
        <f t="shared" si="62"/>
        <v>15310.94</v>
      </c>
      <c r="T247" s="82">
        <v>0.33564814814814814</v>
      </c>
      <c r="U247" s="60">
        <f t="shared" si="50"/>
        <v>3531.0276723603824</v>
      </c>
      <c r="V247" s="60">
        <f t="shared" si="51"/>
        <v>1248.7846873318933</v>
      </c>
      <c r="W247" s="60">
        <f t="shared" si="52"/>
        <v>355.55486978628846</v>
      </c>
      <c r="X247" s="60">
        <f t="shared" si="53"/>
        <v>185.37506596649723</v>
      </c>
      <c r="Y247" s="60">
        <f t="shared" si="54"/>
        <v>5320.7422954450622</v>
      </c>
      <c r="Z247" s="63">
        <f t="shared" si="55"/>
        <v>0.3475124515833164</v>
      </c>
      <c r="AA247" s="59">
        <f t="shared" si="56"/>
        <v>5320.9090630079854</v>
      </c>
      <c r="AB247" s="60"/>
      <c r="AC247" s="59">
        <v>5334.7172176770973</v>
      </c>
      <c r="AD247" s="106">
        <f t="shared" si="63"/>
        <v>-13.8081546691119</v>
      </c>
      <c r="AE247" s="106">
        <v>-13.743253057843503</v>
      </c>
      <c r="AF247" s="106">
        <f t="shared" si="64"/>
        <v>-6.4901611268396664E-2</v>
      </c>
      <c r="AG247" s="59"/>
    </row>
    <row r="248" spans="2:33" x14ac:dyDescent="0.35">
      <c r="B248">
        <v>985</v>
      </c>
      <c r="C248" s="17">
        <v>8</v>
      </c>
      <c r="D248" s="22" t="s">
        <v>243</v>
      </c>
      <c r="E248" s="90">
        <v>65.667615124449199</v>
      </c>
      <c r="F248" s="90">
        <f>INDEX('Revised 2019 Lockdown'!H$5:H$257,MATCH(B248,'Revised 2019 Lockdown'!B$5:B$257,0))</f>
        <v>65.667615124449199</v>
      </c>
      <c r="G248" s="90">
        <f t="shared" si="57"/>
        <v>0</v>
      </c>
      <c r="H248" s="5">
        <v>119730.94</v>
      </c>
      <c r="I248" s="5">
        <f>INDEX('Revised 2019 Lockdown'!E$5:E$257,MATCH(B248,'Revised 2019 Lockdown'!B$5:B$257,0))</f>
        <v>119730.94</v>
      </c>
      <c r="J248" s="5">
        <f t="shared" si="58"/>
        <v>0</v>
      </c>
      <c r="K248" s="5">
        <v>0</v>
      </c>
      <c r="L248" s="5">
        <f>INDEX('Revised 2019 Lockdown'!F$5:F$257,MATCH(B248,'Revised 2019 Lockdown'!B$5:B$257,0))</f>
        <v>0</v>
      </c>
      <c r="M248" s="5">
        <f t="shared" si="59"/>
        <v>0</v>
      </c>
      <c r="N248" s="5">
        <v>119730.94</v>
      </c>
      <c r="O248" s="60">
        <f>INDEX('Revised 2019 Lockdown'!G$5:G$257,MATCH(B248,'Revised 2019 Lockdown'!B$5:B$257,0))</f>
        <v>119730.94</v>
      </c>
      <c r="P248" s="5">
        <f t="shared" si="60"/>
        <v>0</v>
      </c>
      <c r="Q248" s="58">
        <f t="shared" si="61"/>
        <v>1823.2874724183805</v>
      </c>
      <c r="R248" s="6">
        <f t="shared" si="49"/>
        <v>1823.2874724183805</v>
      </c>
      <c r="S248" s="5">
        <f t="shared" si="62"/>
        <v>119730.94</v>
      </c>
      <c r="T248" s="82">
        <v>0.35185185185185186</v>
      </c>
      <c r="U248" s="60">
        <f t="shared" si="50"/>
        <v>27612.495534416605</v>
      </c>
      <c r="V248" s="60">
        <f t="shared" si="51"/>
        <v>4694.0304648549745</v>
      </c>
      <c r="W248" s="60">
        <f t="shared" si="52"/>
        <v>2914.6523064106418</v>
      </c>
      <c r="X248" s="60">
        <f t="shared" si="53"/>
        <v>1449.6256206823828</v>
      </c>
      <c r="Y248" s="60">
        <f t="shared" si="54"/>
        <v>36670.803926364606</v>
      </c>
      <c r="Z248" s="63">
        <f t="shared" si="55"/>
        <v>0.3062767562533511</v>
      </c>
      <c r="AA248" s="59">
        <f t="shared" si="56"/>
        <v>36671.953296182131</v>
      </c>
      <c r="AB248" s="60"/>
      <c r="AC248" s="59">
        <v>36773.785388636716</v>
      </c>
      <c r="AD248" s="106">
        <f t="shared" si="63"/>
        <v>-101.8320924545842</v>
      </c>
      <c r="AE248" s="106">
        <v>-101.32241846509714</v>
      </c>
      <c r="AF248" s="106">
        <f t="shared" si="64"/>
        <v>-0.50967398948705522</v>
      </c>
      <c r="AG248" s="59"/>
    </row>
    <row r="249" spans="2:33" x14ac:dyDescent="0.35">
      <c r="B249">
        <v>159</v>
      </c>
      <c r="C249" s="17">
        <v>9</v>
      </c>
      <c r="D249" s="22" t="s">
        <v>245</v>
      </c>
      <c r="E249" s="90">
        <v>721.93312534833865</v>
      </c>
      <c r="F249" s="90">
        <f>INDEX('Revised 2019 Lockdown'!H$5:H$257,MATCH(B249,'Revised 2019 Lockdown'!B$5:B$257,0))</f>
        <v>721.93312534833865</v>
      </c>
      <c r="G249" s="90">
        <f t="shared" si="57"/>
        <v>0</v>
      </c>
      <c r="H249" s="5">
        <v>166217.32</v>
      </c>
      <c r="I249" s="5">
        <f>INDEX('Revised 2019 Lockdown'!E$5:E$257,MATCH(B249,'Revised 2019 Lockdown'!B$5:B$257,0))</f>
        <v>166217.32</v>
      </c>
      <c r="J249" s="5">
        <f t="shared" si="58"/>
        <v>0</v>
      </c>
      <c r="K249" s="5">
        <v>0</v>
      </c>
      <c r="L249" s="5">
        <f>INDEX('Revised 2019 Lockdown'!F$5:F$257,MATCH(B249,'Revised 2019 Lockdown'!B$5:B$257,0))</f>
        <v>0</v>
      </c>
      <c r="M249" s="5">
        <f t="shared" si="59"/>
        <v>0</v>
      </c>
      <c r="N249" s="5">
        <v>166217.32</v>
      </c>
      <c r="O249" s="60">
        <f>INDEX('Revised 2019 Lockdown'!G$5:G$257,MATCH(B249,'Revised 2019 Lockdown'!B$5:B$257,0))</f>
        <v>166217.32</v>
      </c>
      <c r="P249" s="5">
        <f t="shared" si="60"/>
        <v>0</v>
      </c>
      <c r="Q249" s="58">
        <f t="shared" si="61"/>
        <v>230.2392204538319</v>
      </c>
      <c r="R249" s="6">
        <f t="shared" si="49"/>
        <v>230.2392204538319</v>
      </c>
      <c r="S249" s="5">
        <f t="shared" si="62"/>
        <v>166217.32</v>
      </c>
      <c r="T249" s="82">
        <v>0.91666666666666674</v>
      </c>
      <c r="U249" s="60">
        <f t="shared" si="50"/>
        <v>38333.241234410227</v>
      </c>
      <c r="V249" s="60">
        <f t="shared" si="51"/>
        <v>51604.981809539873</v>
      </c>
      <c r="W249" s="60">
        <f t="shared" si="52"/>
        <v>10541.641339462813</v>
      </c>
      <c r="X249" s="60">
        <f t="shared" si="53"/>
        <v>2012.4529689081392</v>
      </c>
      <c r="Y249" s="60">
        <f t="shared" si="54"/>
        <v>102492.31735232106</v>
      </c>
      <c r="Z249" s="63">
        <f t="shared" si="55"/>
        <v>0.61661635112586977</v>
      </c>
      <c r="AA249" s="59">
        <f t="shared" si="56"/>
        <v>102495.52976010818</v>
      </c>
      <c r="AB249" s="60"/>
      <c r="AC249" s="59">
        <v>102714.33299690904</v>
      </c>
      <c r="AD249" s="106">
        <f t="shared" si="63"/>
        <v>-218.80323680085712</v>
      </c>
      <c r="AE249" s="106">
        <v>-217.99290695876698</v>
      </c>
      <c r="AF249" s="106">
        <f t="shared" si="64"/>
        <v>-0.81032984209014103</v>
      </c>
      <c r="AG249" s="59"/>
    </row>
    <row r="250" spans="2:33" x14ac:dyDescent="0.35">
      <c r="B250">
        <v>173</v>
      </c>
      <c r="C250" s="17">
        <v>9</v>
      </c>
      <c r="D250" s="22" t="s">
        <v>246</v>
      </c>
      <c r="E250" s="90">
        <v>317.52000000000004</v>
      </c>
      <c r="F250" s="90">
        <f>INDEX('Revised 2019 Lockdown'!H$5:H$257,MATCH(B250,'Revised 2019 Lockdown'!B$5:B$257,0))</f>
        <v>317.52000000000004</v>
      </c>
      <c r="G250" s="90">
        <f t="shared" si="57"/>
        <v>0</v>
      </c>
      <c r="H250" s="5">
        <v>188734.3</v>
      </c>
      <c r="I250" s="5">
        <f>INDEX('Revised 2019 Lockdown'!E$5:E$257,MATCH(B250,'Revised 2019 Lockdown'!B$5:B$257,0))</f>
        <v>188734.3</v>
      </c>
      <c r="J250" s="5">
        <f t="shared" si="58"/>
        <v>0</v>
      </c>
      <c r="K250" s="5">
        <v>0</v>
      </c>
      <c r="L250" s="5">
        <f>INDEX('Revised 2019 Lockdown'!F$5:F$257,MATCH(B250,'Revised 2019 Lockdown'!B$5:B$257,0))</f>
        <v>0</v>
      </c>
      <c r="M250" s="5">
        <f t="shared" si="59"/>
        <v>0</v>
      </c>
      <c r="N250" s="5">
        <v>188734.3</v>
      </c>
      <c r="O250" s="60">
        <f>INDEX('Revised 2019 Lockdown'!G$5:G$257,MATCH(B250,'Revised 2019 Lockdown'!B$5:B$257,0))</f>
        <v>188734.3</v>
      </c>
      <c r="P250" s="5">
        <f t="shared" si="60"/>
        <v>0</v>
      </c>
      <c r="Q250" s="58">
        <f t="shared" si="61"/>
        <v>594.40129755605938</v>
      </c>
      <c r="R250" s="6">
        <f t="shared" si="49"/>
        <v>594.40129755605938</v>
      </c>
      <c r="S250" s="5">
        <f t="shared" si="62"/>
        <v>188734.3</v>
      </c>
      <c r="T250" s="82">
        <v>0.86574074074074081</v>
      </c>
      <c r="U250" s="60">
        <f t="shared" si="50"/>
        <v>43526.134647746389</v>
      </c>
      <c r="V250" s="60">
        <f t="shared" si="51"/>
        <v>22696.858266835879</v>
      </c>
      <c r="W250" s="60">
        <f t="shared" si="52"/>
        <v>11304.704415456354</v>
      </c>
      <c r="X250" s="60">
        <f t="shared" si="53"/>
        <v>2285.0741569518709</v>
      </c>
      <c r="Y250" s="60">
        <f t="shared" si="54"/>
        <v>79812.771486990488</v>
      </c>
      <c r="Z250" s="63">
        <f t="shared" si="55"/>
        <v>0.42288429547247369</v>
      </c>
      <c r="AA250" s="59">
        <f t="shared" si="56"/>
        <v>79815.273051744414</v>
      </c>
      <c r="AB250" s="60"/>
      <c r="AC250" s="59">
        <v>80015.417756753304</v>
      </c>
      <c r="AD250" s="106">
        <f t="shared" si="63"/>
        <v>-200.14470500889001</v>
      </c>
      <c r="AE250" s="106">
        <v>-199.23500801129558</v>
      </c>
      <c r="AF250" s="106">
        <f t="shared" si="64"/>
        <v>-0.90969699759443756</v>
      </c>
      <c r="AG250" s="59"/>
    </row>
    <row r="251" spans="2:33" x14ac:dyDescent="0.35">
      <c r="B251">
        <v>204</v>
      </c>
      <c r="C251" s="17">
        <v>9</v>
      </c>
      <c r="D251" s="22" t="s">
        <v>247</v>
      </c>
      <c r="E251" s="90">
        <v>445.31300985280456</v>
      </c>
      <c r="F251" s="90">
        <f>INDEX('Revised 2019 Lockdown'!H$5:H$257,MATCH(B251,'Revised 2019 Lockdown'!B$5:B$257,0))</f>
        <v>445.31300985280456</v>
      </c>
      <c r="G251" s="90">
        <f t="shared" si="57"/>
        <v>0</v>
      </c>
      <c r="H251" s="5">
        <v>522018.01</v>
      </c>
      <c r="I251" s="5">
        <f>INDEX('Revised 2019 Lockdown'!E$5:E$257,MATCH(B251,'Revised 2019 Lockdown'!B$5:B$257,0))</f>
        <v>526325.63</v>
      </c>
      <c r="J251" s="5">
        <f t="shared" si="58"/>
        <v>4307.6199999999953</v>
      </c>
      <c r="K251" s="5">
        <v>0</v>
      </c>
      <c r="L251" s="5">
        <f>INDEX('Revised 2019 Lockdown'!F$5:F$257,MATCH(B251,'Revised 2019 Lockdown'!B$5:B$257,0))</f>
        <v>0</v>
      </c>
      <c r="M251" s="5">
        <f t="shared" si="59"/>
        <v>0</v>
      </c>
      <c r="N251" s="5">
        <v>522018.01</v>
      </c>
      <c r="O251" s="60">
        <f>INDEX('Revised 2019 Lockdown'!G$5:G$257,MATCH(B251,'Revised 2019 Lockdown'!B$5:B$257,0))</f>
        <v>526325.63</v>
      </c>
      <c r="P251" s="5">
        <f t="shared" si="60"/>
        <v>4307.6199999999953</v>
      </c>
      <c r="Q251" s="58">
        <f t="shared" si="61"/>
        <v>1181.9228685323469</v>
      </c>
      <c r="R251" s="6">
        <f t="shared" si="49"/>
        <v>1181.9228685323469</v>
      </c>
      <c r="S251" s="5">
        <f t="shared" si="62"/>
        <v>526325.63</v>
      </c>
      <c r="T251" s="82">
        <v>0.2361111111111111</v>
      </c>
      <c r="U251" s="60">
        <f t="shared" si="50"/>
        <v>121381.85925896854</v>
      </c>
      <c r="V251" s="60">
        <f t="shared" si="51"/>
        <v>31831.715384880299</v>
      </c>
      <c r="W251" s="60">
        <f t="shared" si="52"/>
        <v>8597.8816975102709</v>
      </c>
      <c r="X251" s="60">
        <f t="shared" si="53"/>
        <v>6372.41399816786</v>
      </c>
      <c r="Y251" s="60">
        <f t="shared" si="54"/>
        <v>168183.87033952697</v>
      </c>
      <c r="Z251" s="63">
        <f t="shared" si="55"/>
        <v>0.31954337914254138</v>
      </c>
      <c r="AA251" s="59">
        <f t="shared" si="56"/>
        <v>168189.14171194498</v>
      </c>
      <c r="AB251" s="60"/>
      <c r="AC251" s="59">
        <v>167519.41923500609</v>
      </c>
      <c r="AD251" s="106">
        <f t="shared" si="63"/>
        <v>669.72247693888494</v>
      </c>
      <c r="AE251" s="106">
        <v>671.91144602460554</v>
      </c>
      <c r="AF251" s="106">
        <f t="shared" si="64"/>
        <v>-2.1889690857206006</v>
      </c>
      <c r="AG251" s="59"/>
    </row>
    <row r="252" spans="2:33" x14ac:dyDescent="0.35">
      <c r="B252">
        <v>230</v>
      </c>
      <c r="C252" s="17">
        <v>9</v>
      </c>
      <c r="D252" s="22" t="s">
        <v>249</v>
      </c>
      <c r="E252" s="90">
        <v>137.3463158270811</v>
      </c>
      <c r="F252" s="90">
        <f>INDEX('Revised 2019 Lockdown'!H$5:H$257,MATCH(B252,'Revised 2019 Lockdown'!B$5:B$257,0))</f>
        <v>137.3463158270811</v>
      </c>
      <c r="G252" s="90">
        <f t="shared" si="57"/>
        <v>0</v>
      </c>
      <c r="H252" s="5">
        <v>95548.24</v>
      </c>
      <c r="I252" s="5">
        <f>INDEX('Revised 2019 Lockdown'!E$5:E$257,MATCH(B252,'Revised 2019 Lockdown'!B$5:B$257,0))</f>
        <v>102952.81</v>
      </c>
      <c r="J252" s="5">
        <f t="shared" si="58"/>
        <v>7404.5699999999924</v>
      </c>
      <c r="K252" s="5">
        <v>1799.3000000000002</v>
      </c>
      <c r="L252" s="5">
        <f>INDEX('Revised 2019 Lockdown'!F$5:F$257,MATCH(B252,'Revised 2019 Lockdown'!B$5:B$257,0))</f>
        <v>1799.3000000000002</v>
      </c>
      <c r="M252" s="5">
        <f t="shared" si="59"/>
        <v>0</v>
      </c>
      <c r="N252" s="5">
        <v>93748.94</v>
      </c>
      <c r="O252" s="60">
        <f>INDEX('Revised 2019 Lockdown'!G$5:G$257,MATCH(B252,'Revised 2019 Lockdown'!B$5:B$257,0))</f>
        <v>101153.51</v>
      </c>
      <c r="P252" s="5">
        <f t="shared" si="60"/>
        <v>7404.5699999999924</v>
      </c>
      <c r="Q252" s="58">
        <f t="shared" si="61"/>
        <v>736.48506252874074</v>
      </c>
      <c r="R252" s="6">
        <f t="shared" si="49"/>
        <v>736.48506252874074</v>
      </c>
      <c r="S252" s="5">
        <f t="shared" si="62"/>
        <v>101153.51</v>
      </c>
      <c r="T252" s="82">
        <v>0.27777777777777779</v>
      </c>
      <c r="U252" s="60">
        <f t="shared" si="50"/>
        <v>23328.145950959421</v>
      </c>
      <c r="V252" s="60">
        <f t="shared" si="51"/>
        <v>9817.74333522089</v>
      </c>
      <c r="W252" s="60">
        <f t="shared" si="52"/>
        <v>1944.0121625799516</v>
      </c>
      <c r="X252" s="60">
        <f t="shared" si="53"/>
        <v>1224.7019836138563</v>
      </c>
      <c r="Y252" s="60">
        <f t="shared" si="54"/>
        <v>36314.603432374119</v>
      </c>
      <c r="Z252" s="63">
        <f t="shared" si="55"/>
        <v>0.35900487716515345</v>
      </c>
      <c r="AA252" s="59">
        <f t="shared" si="56"/>
        <v>36315.74163783055</v>
      </c>
      <c r="AB252" s="60"/>
      <c r="AC252" s="59">
        <v>34462.313332407488</v>
      </c>
      <c r="AD252" s="106">
        <f t="shared" si="63"/>
        <v>1853.4283054230618</v>
      </c>
      <c r="AE252" s="106">
        <v>1853.8506612300043</v>
      </c>
      <c r="AF252" s="106">
        <f t="shared" si="64"/>
        <v>-0.4223558069425053</v>
      </c>
      <c r="AG252" s="59"/>
    </row>
    <row r="253" spans="2:33" x14ac:dyDescent="0.35">
      <c r="B253">
        <v>277</v>
      </c>
      <c r="C253" s="17">
        <v>9</v>
      </c>
      <c r="D253" s="22" t="s">
        <v>250</v>
      </c>
      <c r="E253" s="90">
        <v>77.20924891627962</v>
      </c>
      <c r="F253" s="90">
        <f>INDEX('Revised 2019 Lockdown'!H$5:H$257,MATCH(B253,'Revised 2019 Lockdown'!B$5:B$257,0))</f>
        <v>77.20924891627962</v>
      </c>
      <c r="G253" s="90">
        <f t="shared" si="57"/>
        <v>0</v>
      </c>
      <c r="H253" s="5">
        <v>193093.73</v>
      </c>
      <c r="I253" s="5">
        <f>INDEX('Revised 2019 Lockdown'!E$5:E$257,MATCH(B253,'Revised 2019 Lockdown'!B$5:B$257,0))</f>
        <v>193093.73</v>
      </c>
      <c r="J253" s="5">
        <f t="shared" si="58"/>
        <v>0</v>
      </c>
      <c r="K253" s="5">
        <v>5454.62</v>
      </c>
      <c r="L253" s="5">
        <f>INDEX('Revised 2019 Lockdown'!F$5:F$257,MATCH(B253,'Revised 2019 Lockdown'!B$5:B$257,0))</f>
        <v>5454.62</v>
      </c>
      <c r="M253" s="5">
        <f t="shared" si="59"/>
        <v>0</v>
      </c>
      <c r="N253" s="5">
        <v>187639.11000000002</v>
      </c>
      <c r="O253" s="60">
        <f>INDEX('Revised 2019 Lockdown'!G$5:G$257,MATCH(B253,'Revised 2019 Lockdown'!B$5:B$257,0))</f>
        <v>187639.11000000002</v>
      </c>
      <c r="P253" s="5">
        <f t="shared" si="60"/>
        <v>0</v>
      </c>
      <c r="Q253" s="58">
        <f t="shared" si="61"/>
        <v>2430.2672624553429</v>
      </c>
      <c r="R253" s="6">
        <f t="shared" si="49"/>
        <v>1695.4343716100057</v>
      </c>
      <c r="S253" s="5">
        <f t="shared" si="62"/>
        <v>130903.21441885305</v>
      </c>
      <c r="T253" s="82">
        <v>0.25694444444444442</v>
      </c>
      <c r="U253" s="60">
        <f t="shared" si="50"/>
        <v>30189.059098520058</v>
      </c>
      <c r="V253" s="60">
        <f t="shared" si="51"/>
        <v>5519.0456649711823</v>
      </c>
      <c r="W253" s="60">
        <f t="shared" si="52"/>
        <v>2327.0733055109208</v>
      </c>
      <c r="X253" s="60">
        <f t="shared" si="53"/>
        <v>1584.8923716062773</v>
      </c>
      <c r="Y253" s="60">
        <f t="shared" si="54"/>
        <v>39620.070440608441</v>
      </c>
      <c r="Z253" s="63">
        <f t="shared" si="55"/>
        <v>0.30266690253942491</v>
      </c>
      <c r="AA253" s="59">
        <f t="shared" si="56"/>
        <v>39621.312249029776</v>
      </c>
      <c r="AB253" s="60"/>
      <c r="AC253" s="59">
        <v>39689.267918881844</v>
      </c>
      <c r="AD253" s="106">
        <f t="shared" si="63"/>
        <v>-67.95566985206824</v>
      </c>
      <c r="AE253" s="106">
        <v>-67.413310299612931</v>
      </c>
      <c r="AF253" s="106">
        <f t="shared" si="64"/>
        <v>-0.54235955245530931</v>
      </c>
      <c r="AG253" s="59"/>
    </row>
    <row r="254" spans="2:33" x14ac:dyDescent="0.35">
      <c r="B254">
        <v>279</v>
      </c>
      <c r="C254" s="17">
        <v>9</v>
      </c>
      <c r="D254" s="22" t="s">
        <v>251</v>
      </c>
      <c r="E254" s="90">
        <v>281.14056938192209</v>
      </c>
      <c r="F254" s="90">
        <f>INDEX('Revised 2019 Lockdown'!H$5:H$257,MATCH(B254,'Revised 2019 Lockdown'!B$5:B$257,0))</f>
        <v>281.14056938192209</v>
      </c>
      <c r="G254" s="90">
        <f t="shared" si="57"/>
        <v>0</v>
      </c>
      <c r="H254" s="5">
        <v>185521.99</v>
      </c>
      <c r="I254" s="5">
        <f>INDEX('Revised 2019 Lockdown'!E$5:E$257,MATCH(B254,'Revised 2019 Lockdown'!B$5:B$257,0))</f>
        <v>185521.99</v>
      </c>
      <c r="J254" s="5">
        <f t="shared" si="58"/>
        <v>0</v>
      </c>
      <c r="K254" s="5">
        <v>796</v>
      </c>
      <c r="L254" s="5">
        <f>INDEX('Revised 2019 Lockdown'!F$5:F$257,MATCH(B254,'Revised 2019 Lockdown'!B$5:B$257,0))</f>
        <v>796</v>
      </c>
      <c r="M254" s="5">
        <f t="shared" si="59"/>
        <v>0</v>
      </c>
      <c r="N254" s="5">
        <v>184725.99</v>
      </c>
      <c r="O254" s="60">
        <f>INDEX('Revised 2019 Lockdown'!G$5:G$257,MATCH(B254,'Revised 2019 Lockdown'!B$5:B$257,0))</f>
        <v>184725.99</v>
      </c>
      <c r="P254" s="5">
        <f t="shared" si="60"/>
        <v>0</v>
      </c>
      <c r="Q254" s="58">
        <f t="shared" si="61"/>
        <v>657.05917294723326</v>
      </c>
      <c r="R254" s="6">
        <f t="shared" si="49"/>
        <v>657.05917294723326</v>
      </c>
      <c r="S254" s="5">
        <f t="shared" si="62"/>
        <v>184725.99</v>
      </c>
      <c r="T254" s="82">
        <v>0.24305555555555555</v>
      </c>
      <c r="U254" s="60">
        <f t="shared" si="50"/>
        <v>42601.733302734334</v>
      </c>
      <c r="V254" s="60">
        <f t="shared" si="51"/>
        <v>20096.395994957871</v>
      </c>
      <c r="W254" s="60">
        <f t="shared" si="52"/>
        <v>3106.3763866577119</v>
      </c>
      <c r="X254" s="60">
        <f t="shared" si="53"/>
        <v>2236.5441038875801</v>
      </c>
      <c r="Y254" s="60">
        <f t="shared" si="54"/>
        <v>68041.049788237506</v>
      </c>
      <c r="Z254" s="63">
        <f t="shared" si="55"/>
        <v>0.3683350122429308</v>
      </c>
      <c r="AA254" s="59">
        <f t="shared" si="56"/>
        <v>68043.182392942239</v>
      </c>
      <c r="AB254" s="60"/>
      <c r="AC254" s="59">
        <v>68212.762149860835</v>
      </c>
      <c r="AD254" s="106">
        <f t="shared" si="63"/>
        <v>-169.5797569185961</v>
      </c>
      <c r="AE254" s="106">
        <v>-168.81549386556435</v>
      </c>
      <c r="AF254" s="106">
        <f t="shared" si="64"/>
        <v>-0.76426305303175468</v>
      </c>
      <c r="AG254" s="59"/>
    </row>
    <row r="255" spans="2:33" x14ac:dyDescent="0.35">
      <c r="B255">
        <v>331</v>
      </c>
      <c r="C255" s="17">
        <v>9</v>
      </c>
      <c r="D255" s="22" t="s">
        <v>252</v>
      </c>
      <c r="E255" s="90">
        <v>442.75839063951412</v>
      </c>
      <c r="F255" s="90">
        <f>INDEX('Revised 2019 Lockdown'!H$5:H$257,MATCH(B255,'Revised 2019 Lockdown'!B$5:B$257,0))</f>
        <v>442.75839063951412</v>
      </c>
      <c r="G255" s="90">
        <f t="shared" si="57"/>
        <v>0</v>
      </c>
      <c r="H255" s="5">
        <v>160212.76999999999</v>
      </c>
      <c r="I255" s="5">
        <f>INDEX('Revised 2019 Lockdown'!E$5:E$257,MATCH(B255,'Revised 2019 Lockdown'!B$5:B$257,0))</f>
        <v>160212.76999999999</v>
      </c>
      <c r="J255" s="5">
        <f t="shared" si="58"/>
        <v>0</v>
      </c>
      <c r="K255" s="5">
        <v>0</v>
      </c>
      <c r="L255" s="5">
        <f>INDEX('Revised 2019 Lockdown'!F$5:F$257,MATCH(B255,'Revised 2019 Lockdown'!B$5:B$257,0))</f>
        <v>0</v>
      </c>
      <c r="M255" s="5">
        <f t="shared" si="59"/>
        <v>0</v>
      </c>
      <c r="N255" s="5">
        <v>160212.76999999999</v>
      </c>
      <c r="O255" s="60">
        <f>INDEX('Revised 2019 Lockdown'!G$5:G$257,MATCH(B255,'Revised 2019 Lockdown'!B$5:B$257,0))</f>
        <v>160212.76999999999</v>
      </c>
      <c r="P255" s="5">
        <f t="shared" si="60"/>
        <v>0</v>
      </c>
      <c r="Q255" s="58">
        <f t="shared" si="61"/>
        <v>361.85145981895653</v>
      </c>
      <c r="R255" s="6">
        <f t="shared" si="49"/>
        <v>361.85145981895653</v>
      </c>
      <c r="S255" s="5">
        <f t="shared" si="62"/>
        <v>160212.76999999999</v>
      </c>
      <c r="T255" s="82">
        <v>0.55092592592592593</v>
      </c>
      <c r="U255" s="60">
        <f t="shared" si="50"/>
        <v>36948.464583853718</v>
      </c>
      <c r="V255" s="60">
        <f t="shared" si="51"/>
        <v>31649.106950105204</v>
      </c>
      <c r="W255" s="60">
        <f t="shared" si="52"/>
        <v>6106.7601187202672</v>
      </c>
      <c r="X255" s="60">
        <f t="shared" si="53"/>
        <v>1939.7537190678852</v>
      </c>
      <c r="Y255" s="60">
        <f t="shared" si="54"/>
        <v>76644.085371747075</v>
      </c>
      <c r="Z255" s="63">
        <f t="shared" si="55"/>
        <v>0.47838936541542276</v>
      </c>
      <c r="AA255" s="59">
        <f t="shared" si="56"/>
        <v>76646.487620647735</v>
      </c>
      <c r="AB255" s="60"/>
      <c r="AC255" s="59">
        <v>76822.026451961996</v>
      </c>
      <c r="AD255" s="106">
        <f t="shared" si="63"/>
        <v>-175.53883131426119</v>
      </c>
      <c r="AE255" s="106">
        <v>-174.82195615212549</v>
      </c>
      <c r="AF255" s="106">
        <f t="shared" si="64"/>
        <v>-0.71687516213569324</v>
      </c>
      <c r="AG255" s="59"/>
    </row>
    <row r="256" spans="2:33" x14ac:dyDescent="0.35">
      <c r="B256">
        <v>369</v>
      </c>
      <c r="C256" s="17">
        <v>9</v>
      </c>
      <c r="D256" s="22" t="s">
        <v>253</v>
      </c>
      <c r="E256" s="90">
        <v>372.33</v>
      </c>
      <c r="F256" s="90">
        <f>INDEX('Revised 2019 Lockdown'!H$5:H$257,MATCH(B256,'Revised 2019 Lockdown'!B$5:B$257,0))</f>
        <v>372.33</v>
      </c>
      <c r="G256" s="90">
        <f t="shared" si="57"/>
        <v>0</v>
      </c>
      <c r="H256" s="5">
        <v>439717.41</v>
      </c>
      <c r="I256" s="5">
        <f>INDEX('Revised 2019 Lockdown'!E$5:E$257,MATCH(B256,'Revised 2019 Lockdown'!B$5:B$257,0))</f>
        <v>439717.41</v>
      </c>
      <c r="J256" s="5">
        <f t="shared" si="58"/>
        <v>0</v>
      </c>
      <c r="K256" s="5">
        <v>0</v>
      </c>
      <c r="L256" s="5">
        <f>INDEX('Revised 2019 Lockdown'!F$5:F$257,MATCH(B256,'Revised 2019 Lockdown'!B$5:B$257,0))</f>
        <v>0</v>
      </c>
      <c r="M256" s="5">
        <f t="shared" si="59"/>
        <v>0</v>
      </c>
      <c r="N256" s="5">
        <v>439717.41</v>
      </c>
      <c r="O256" s="60">
        <f>INDEX('Revised 2019 Lockdown'!G$5:G$257,MATCH(B256,'Revised 2019 Lockdown'!B$5:B$257,0))</f>
        <v>439717.41</v>
      </c>
      <c r="P256" s="5">
        <f t="shared" si="60"/>
        <v>0</v>
      </c>
      <c r="Q256" s="58">
        <f t="shared" si="61"/>
        <v>1180.9883973894125</v>
      </c>
      <c r="R256" s="6">
        <f t="shared" si="49"/>
        <v>1180.9883973894125</v>
      </c>
      <c r="S256" s="5">
        <f t="shared" si="62"/>
        <v>439717.40999999992</v>
      </c>
      <c r="T256" s="82">
        <v>0.65953703703703703</v>
      </c>
      <c r="U256" s="60">
        <f t="shared" si="50"/>
        <v>101408.16584276574</v>
      </c>
      <c r="V256" s="60">
        <f t="shared" si="51"/>
        <v>26614.768324801593</v>
      </c>
      <c r="W256" s="60">
        <f t="shared" si="52"/>
        <v>20064.732369389454</v>
      </c>
      <c r="X256" s="60">
        <f t="shared" si="53"/>
        <v>5323.8170801640717</v>
      </c>
      <c r="Y256" s="60">
        <f t="shared" si="54"/>
        <v>153411.48361712086</v>
      </c>
      <c r="Z256" s="63">
        <f t="shared" si="55"/>
        <v>0.34888653514337969</v>
      </c>
      <c r="AA256" s="59">
        <f t="shared" si="56"/>
        <v>153416.29197990685</v>
      </c>
      <c r="AB256" s="60"/>
      <c r="AC256" s="59">
        <v>153830.11017758254</v>
      </c>
      <c r="AD256" s="106">
        <f t="shared" si="63"/>
        <v>-413.81819767568959</v>
      </c>
      <c r="AE256" s="106">
        <v>-411.79808576576761</v>
      </c>
      <c r="AF256" s="106">
        <f t="shared" si="64"/>
        <v>-2.0201119099219795</v>
      </c>
      <c r="AG256" s="59"/>
    </row>
    <row r="257" spans="2:33" x14ac:dyDescent="0.35">
      <c r="B257">
        <v>416</v>
      </c>
      <c r="C257" s="17">
        <v>9</v>
      </c>
      <c r="D257" s="22" t="s">
        <v>254</v>
      </c>
      <c r="E257" s="90">
        <v>63.282402387757521</v>
      </c>
      <c r="F257" s="90">
        <f>INDEX('Revised 2019 Lockdown'!H$5:H$257,MATCH(B257,'Revised 2019 Lockdown'!B$5:B$257,0))</f>
        <v>63.282402387757521</v>
      </c>
      <c r="G257" s="90">
        <f t="shared" si="57"/>
        <v>0</v>
      </c>
      <c r="H257" s="5">
        <v>63073.1</v>
      </c>
      <c r="I257" s="5">
        <f>INDEX('Revised 2019 Lockdown'!E$5:E$257,MATCH(B257,'Revised 2019 Lockdown'!B$5:B$257,0))</f>
        <v>63073.1</v>
      </c>
      <c r="J257" s="5">
        <f t="shared" si="58"/>
        <v>0</v>
      </c>
      <c r="K257" s="5">
        <v>67.5</v>
      </c>
      <c r="L257" s="5">
        <f>INDEX('Revised 2019 Lockdown'!F$5:F$257,MATCH(B257,'Revised 2019 Lockdown'!B$5:B$257,0))</f>
        <v>67.5</v>
      </c>
      <c r="M257" s="5">
        <f t="shared" si="59"/>
        <v>0</v>
      </c>
      <c r="N257" s="5">
        <v>63005.599999999999</v>
      </c>
      <c r="O257" s="60">
        <f>INDEX('Revised 2019 Lockdown'!G$5:G$257,MATCH(B257,'Revised 2019 Lockdown'!B$5:B$257,0))</f>
        <v>63005.599999999999</v>
      </c>
      <c r="P257" s="5">
        <f t="shared" si="60"/>
        <v>0</v>
      </c>
      <c r="Q257" s="58">
        <f t="shared" si="61"/>
        <v>995.62591846527187</v>
      </c>
      <c r="R257" s="6">
        <f t="shared" si="49"/>
        <v>995.62591846527187</v>
      </c>
      <c r="S257" s="5">
        <f t="shared" si="62"/>
        <v>63005.599999999999</v>
      </c>
      <c r="T257" s="82">
        <v>0.63425925925925919</v>
      </c>
      <c r="U257" s="60">
        <f t="shared" si="50"/>
        <v>14530.428380861611</v>
      </c>
      <c r="V257" s="60">
        <f t="shared" si="51"/>
        <v>4523.5314870868251</v>
      </c>
      <c r="W257" s="60">
        <f t="shared" si="52"/>
        <v>2764.8176224695007</v>
      </c>
      <c r="X257" s="60">
        <f t="shared" si="53"/>
        <v>762.83149540516365</v>
      </c>
      <c r="Y257" s="60">
        <f t="shared" si="54"/>
        <v>22581.608985823103</v>
      </c>
      <c r="Z257" s="63">
        <f t="shared" si="55"/>
        <v>0.35840637952536131</v>
      </c>
      <c r="AA257" s="59">
        <f t="shared" si="56"/>
        <v>22582.316759229205</v>
      </c>
      <c r="AB257" s="60"/>
      <c r="AC257" s="59">
        <v>22642.201128756122</v>
      </c>
      <c r="AD257" s="106">
        <f t="shared" si="63"/>
        <v>-59.884369526916998</v>
      </c>
      <c r="AE257" s="106">
        <v>-59.596663513435487</v>
      </c>
      <c r="AF257" s="106">
        <f t="shared" si="64"/>
        <v>-0.28770601348151104</v>
      </c>
      <c r="AG257" s="59"/>
    </row>
    <row r="258" spans="2:33" x14ac:dyDescent="0.35">
      <c r="B258">
        <v>508</v>
      </c>
      <c r="C258" s="17">
        <v>9</v>
      </c>
      <c r="D258" s="22" t="s">
        <v>256</v>
      </c>
      <c r="E258" s="90">
        <v>83.552342128140978</v>
      </c>
      <c r="F258" s="90">
        <f>INDEX('Revised 2019 Lockdown'!H$5:H$257,MATCH(B258,'Revised 2019 Lockdown'!B$5:B$257,0))</f>
        <v>83.552342128140978</v>
      </c>
      <c r="G258" s="90">
        <f t="shared" si="57"/>
        <v>0</v>
      </c>
      <c r="H258" s="5">
        <v>78621.899999999994</v>
      </c>
      <c r="I258" s="5">
        <f>INDEX('Revised 2019 Lockdown'!E$5:E$257,MATCH(B258,'Revised 2019 Lockdown'!B$5:B$257,0))</f>
        <v>78621.899999999994</v>
      </c>
      <c r="J258" s="5">
        <f t="shared" si="58"/>
        <v>0</v>
      </c>
      <c r="K258" s="5">
        <v>0</v>
      </c>
      <c r="L258" s="5">
        <f>INDEX('Revised 2019 Lockdown'!F$5:F$257,MATCH(B258,'Revised 2019 Lockdown'!B$5:B$257,0))</f>
        <v>0</v>
      </c>
      <c r="M258" s="5">
        <f t="shared" si="59"/>
        <v>0</v>
      </c>
      <c r="N258" s="5">
        <v>78621.899999999994</v>
      </c>
      <c r="O258" s="60">
        <f>INDEX('Revised 2019 Lockdown'!G$5:G$257,MATCH(B258,'Revised 2019 Lockdown'!B$5:B$257,0))</f>
        <v>78621.899999999994</v>
      </c>
      <c r="P258" s="5">
        <f t="shared" si="60"/>
        <v>0</v>
      </c>
      <c r="Q258" s="58">
        <f t="shared" si="61"/>
        <v>940.98977954945462</v>
      </c>
      <c r="R258" s="6">
        <f t="shared" si="49"/>
        <v>940.98977954945462</v>
      </c>
      <c r="S258" s="5">
        <f t="shared" si="62"/>
        <v>78621.899999999994</v>
      </c>
      <c r="T258" s="82">
        <v>0.53587962962962965</v>
      </c>
      <c r="U258" s="60">
        <f t="shared" si="50"/>
        <v>18131.878549164892</v>
      </c>
      <c r="V258" s="60">
        <f t="shared" si="51"/>
        <v>5972.4605289260389</v>
      </c>
      <c r="W258" s="60">
        <f t="shared" si="52"/>
        <v>2914.9513084247724</v>
      </c>
      <c r="X258" s="60">
        <f t="shared" si="53"/>
        <v>951.9036648900294</v>
      </c>
      <c r="Y258" s="60">
        <f t="shared" si="54"/>
        <v>27971.194051405735</v>
      </c>
      <c r="Z258" s="63">
        <f t="shared" si="55"/>
        <v>0.35576848246361048</v>
      </c>
      <c r="AA258" s="59">
        <f t="shared" si="56"/>
        <v>27972.07075010772</v>
      </c>
      <c r="AB258" s="60"/>
      <c r="AC258" s="59">
        <v>28045.635137210607</v>
      </c>
      <c r="AD258" s="106">
        <f t="shared" si="63"/>
        <v>-73.564387102887849</v>
      </c>
      <c r="AE258" s="106">
        <v>-73.213853618410212</v>
      </c>
      <c r="AF258" s="106">
        <f t="shared" si="64"/>
        <v>-0.3505334844776371</v>
      </c>
      <c r="AG258" s="59"/>
    </row>
    <row r="259" spans="2:33" x14ac:dyDescent="0.35">
      <c r="B259">
        <v>512</v>
      </c>
      <c r="C259" s="17">
        <v>9</v>
      </c>
      <c r="D259" s="22" t="s">
        <v>257</v>
      </c>
      <c r="E259" s="90">
        <v>208.64932368107657</v>
      </c>
      <c r="F259" s="90">
        <f>INDEX('Revised 2019 Lockdown'!H$5:H$257,MATCH(B259,'Revised 2019 Lockdown'!B$5:B$257,0))</f>
        <v>208.64932368107657</v>
      </c>
      <c r="G259" s="90">
        <f t="shared" si="57"/>
        <v>0</v>
      </c>
      <c r="H259" s="5">
        <v>275963.07</v>
      </c>
      <c r="I259" s="5">
        <f>INDEX('Revised 2019 Lockdown'!E$5:E$257,MATCH(B259,'Revised 2019 Lockdown'!B$5:B$257,0))</f>
        <v>275963.07</v>
      </c>
      <c r="J259" s="5">
        <f t="shared" si="58"/>
        <v>0</v>
      </c>
      <c r="K259" s="5">
        <v>3670.08</v>
      </c>
      <c r="L259" s="5">
        <f>INDEX('Revised 2019 Lockdown'!F$5:F$257,MATCH(B259,'Revised 2019 Lockdown'!B$5:B$257,0))</f>
        <v>3670.08</v>
      </c>
      <c r="M259" s="5">
        <f t="shared" si="59"/>
        <v>0</v>
      </c>
      <c r="N259" s="5">
        <v>272292.99</v>
      </c>
      <c r="O259" s="60">
        <f>INDEX('Revised 2019 Lockdown'!G$5:G$257,MATCH(B259,'Revised 2019 Lockdown'!B$5:B$257,0))</f>
        <v>272292.99</v>
      </c>
      <c r="P259" s="5">
        <f t="shared" si="60"/>
        <v>0</v>
      </c>
      <c r="Q259" s="58">
        <f t="shared" si="61"/>
        <v>1305.026947588882</v>
      </c>
      <c r="R259" s="6">
        <f t="shared" si="49"/>
        <v>1305.026947588882</v>
      </c>
      <c r="S259" s="5">
        <f t="shared" si="62"/>
        <v>272292.99</v>
      </c>
      <c r="T259" s="82">
        <v>0.61805555555555558</v>
      </c>
      <c r="U259" s="60">
        <f t="shared" si="50"/>
        <v>62796.541732888305</v>
      </c>
      <c r="V259" s="60">
        <f t="shared" si="51"/>
        <v>14914.601055242369</v>
      </c>
      <c r="W259" s="60">
        <f t="shared" si="52"/>
        <v>11643.525446306372</v>
      </c>
      <c r="X259" s="60">
        <f t="shared" si="53"/>
        <v>3296.7493167280891</v>
      </c>
      <c r="Y259" s="60">
        <f t="shared" si="54"/>
        <v>92651.417551165141</v>
      </c>
      <c r="Z259" s="63">
        <f t="shared" si="55"/>
        <v>0.34026369004639134</v>
      </c>
      <c r="AA259" s="59">
        <f t="shared" si="56"/>
        <v>92654.321516485841</v>
      </c>
      <c r="AB259" s="60"/>
      <c r="AC259" s="59">
        <v>92906.239446832144</v>
      </c>
      <c r="AD259" s="106">
        <f t="shared" si="63"/>
        <v>-251.91793034630246</v>
      </c>
      <c r="AE259" s="106">
        <v>-250.67936418156023</v>
      </c>
      <c r="AF259" s="106">
        <f t="shared" si="64"/>
        <v>-1.2385661647422239</v>
      </c>
      <c r="AG259" s="59"/>
    </row>
    <row r="260" spans="2:33" x14ac:dyDescent="0.35">
      <c r="B260">
        <v>516</v>
      </c>
      <c r="C260" s="17">
        <v>9</v>
      </c>
      <c r="D260" s="22" t="s">
        <v>258</v>
      </c>
      <c r="E260" s="90">
        <v>310.85525259616531</v>
      </c>
      <c r="F260" s="90">
        <f>INDEX('Revised 2019 Lockdown'!H$5:H$257,MATCH(B260,'Revised 2019 Lockdown'!B$5:B$257,0))</f>
        <v>310.85525259616531</v>
      </c>
      <c r="G260" s="90">
        <f t="shared" si="57"/>
        <v>0</v>
      </c>
      <c r="H260" s="5">
        <v>161888.84</v>
      </c>
      <c r="I260" s="5">
        <f>INDEX('Revised 2019 Lockdown'!E$5:E$257,MATCH(B260,'Revised 2019 Lockdown'!B$5:B$257,0))</f>
        <v>161888.84</v>
      </c>
      <c r="J260" s="5">
        <f t="shared" si="58"/>
        <v>0</v>
      </c>
      <c r="K260" s="5">
        <v>144.16</v>
      </c>
      <c r="L260" s="5">
        <f>INDEX('Revised 2019 Lockdown'!F$5:F$257,MATCH(B260,'Revised 2019 Lockdown'!B$5:B$257,0))</f>
        <v>144.16</v>
      </c>
      <c r="M260" s="5">
        <f t="shared" si="59"/>
        <v>0</v>
      </c>
      <c r="N260" s="5">
        <v>161744.68</v>
      </c>
      <c r="O260" s="60">
        <f>INDEX('Revised 2019 Lockdown'!G$5:G$257,MATCH(B260,'Revised 2019 Lockdown'!B$5:B$257,0))</f>
        <v>161744.68</v>
      </c>
      <c r="P260" s="5">
        <f t="shared" si="60"/>
        <v>0</v>
      </c>
      <c r="Q260" s="58">
        <f t="shared" si="61"/>
        <v>520.32152794318029</v>
      </c>
      <c r="R260" s="6">
        <f t="shared" si="49"/>
        <v>520.32152794318029</v>
      </c>
      <c r="S260" s="5">
        <f t="shared" si="62"/>
        <v>161744.68</v>
      </c>
      <c r="T260" s="82">
        <v>0.53009259259259256</v>
      </c>
      <c r="U260" s="60">
        <f t="shared" si="50"/>
        <v>37301.755538005818</v>
      </c>
      <c r="V260" s="60">
        <f t="shared" si="51"/>
        <v>22220.451025688551</v>
      </c>
      <c r="W260" s="60">
        <f t="shared" si="52"/>
        <v>5932.0152904189799</v>
      </c>
      <c r="X260" s="60">
        <f t="shared" si="53"/>
        <v>1958.3011052704785</v>
      </c>
      <c r="Y260" s="60">
        <f t="shared" si="54"/>
        <v>67412.52295938383</v>
      </c>
      <c r="Z260" s="63">
        <f t="shared" si="55"/>
        <v>0.41678355640126052</v>
      </c>
      <c r="AA260" s="59">
        <f t="shared" si="56"/>
        <v>67414.635864226831</v>
      </c>
      <c r="AB260" s="60"/>
      <c r="AC260" s="59">
        <v>67578.603802841768</v>
      </c>
      <c r="AD260" s="106">
        <f t="shared" si="63"/>
        <v>-163.96793861493643</v>
      </c>
      <c r="AE260" s="106">
        <v>-163.24786764041346</v>
      </c>
      <c r="AF260" s="106">
        <f t="shared" si="64"/>
        <v>-0.72007097452296875</v>
      </c>
      <c r="AG260" s="59"/>
    </row>
    <row r="261" spans="2:33" x14ac:dyDescent="0.35">
      <c r="B261">
        <v>521</v>
      </c>
      <c r="C261" s="17">
        <v>9</v>
      </c>
      <c r="D261" s="22" t="s">
        <v>259</v>
      </c>
      <c r="E261" s="90">
        <v>125.15814085387638</v>
      </c>
      <c r="F261" s="90">
        <f>INDEX('Revised 2019 Lockdown'!H$5:H$257,MATCH(B261,'Revised 2019 Lockdown'!B$5:B$257,0))</f>
        <v>125.15814085387638</v>
      </c>
      <c r="G261" s="90">
        <f t="shared" si="57"/>
        <v>0</v>
      </c>
      <c r="H261" s="5">
        <v>379162.42</v>
      </c>
      <c r="I261" s="5">
        <f>INDEX('Revised 2019 Lockdown'!E$5:E$257,MATCH(B261,'Revised 2019 Lockdown'!B$5:B$257,0))</f>
        <v>379162.42</v>
      </c>
      <c r="J261" s="5">
        <f t="shared" si="58"/>
        <v>0</v>
      </c>
      <c r="K261" s="5">
        <v>79.650000000000006</v>
      </c>
      <c r="L261" s="5">
        <f>INDEX('Revised 2019 Lockdown'!F$5:F$257,MATCH(B261,'Revised 2019 Lockdown'!B$5:B$257,0))</f>
        <v>79.650000000000006</v>
      </c>
      <c r="M261" s="5">
        <f t="shared" si="59"/>
        <v>0</v>
      </c>
      <c r="N261" s="5">
        <v>379082.76999999996</v>
      </c>
      <c r="O261" s="60">
        <f>INDEX('Revised 2019 Lockdown'!G$5:G$257,MATCH(B261,'Revised 2019 Lockdown'!B$5:B$257,0))</f>
        <v>379082.76999999996</v>
      </c>
      <c r="P261" s="5">
        <f t="shared" si="60"/>
        <v>0</v>
      </c>
      <c r="Q261" s="58">
        <f t="shared" si="61"/>
        <v>3028.8303055139149</v>
      </c>
      <c r="R261" s="6">
        <f t="shared" si="49"/>
        <v>1695.4343716100057</v>
      </c>
      <c r="S261" s="5">
        <f t="shared" si="62"/>
        <v>212197.41389046848</v>
      </c>
      <c r="T261" s="82">
        <v>0.5092592592592593</v>
      </c>
      <c r="U261" s="60">
        <f t="shared" si="50"/>
        <v>48937.226613816892</v>
      </c>
      <c r="V261" s="60">
        <f t="shared" si="51"/>
        <v>8946.5122949770503</v>
      </c>
      <c r="W261" s="60">
        <f t="shared" si="52"/>
        <v>7476.5207326664695</v>
      </c>
      <c r="X261" s="60">
        <f t="shared" si="53"/>
        <v>2569.1505288287794</v>
      </c>
      <c r="Y261" s="60">
        <f t="shared" si="54"/>
        <v>67929.410170289193</v>
      </c>
      <c r="Z261" s="63">
        <f t="shared" si="55"/>
        <v>0.32012364771491902</v>
      </c>
      <c r="AA261" s="59">
        <f t="shared" si="56"/>
        <v>67931.539275883086</v>
      </c>
      <c r="AB261" s="60"/>
      <c r="AC261" s="59">
        <v>68048.183453401653</v>
      </c>
      <c r="AD261" s="106">
        <f t="shared" si="63"/>
        <v>-116.64417751856672</v>
      </c>
      <c r="AE261" s="106">
        <v>-115.70642953900096</v>
      </c>
      <c r="AF261" s="106">
        <f t="shared" si="64"/>
        <v>-0.9377479795657564</v>
      </c>
      <c r="AG261" s="59"/>
    </row>
    <row r="262" spans="2:33" x14ac:dyDescent="0.35">
      <c r="B262">
        <v>522</v>
      </c>
      <c r="C262" s="17">
        <v>9</v>
      </c>
      <c r="D262" s="22" t="s">
        <v>260</v>
      </c>
      <c r="E262" s="90">
        <v>76.169540800285816</v>
      </c>
      <c r="F262" s="90">
        <f>INDEX('Revised 2019 Lockdown'!H$5:H$257,MATCH(B262,'Revised 2019 Lockdown'!B$5:B$257,0))</f>
        <v>76.169540800285816</v>
      </c>
      <c r="G262" s="90">
        <f t="shared" si="57"/>
        <v>0</v>
      </c>
      <c r="H262" s="5">
        <v>123348.86</v>
      </c>
      <c r="I262" s="5">
        <f>INDEX('Revised 2019 Lockdown'!E$5:E$257,MATCH(B262,'Revised 2019 Lockdown'!B$5:B$257,0))</f>
        <v>123348.86</v>
      </c>
      <c r="J262" s="5">
        <f t="shared" si="58"/>
        <v>0</v>
      </c>
      <c r="K262" s="5">
        <v>84</v>
      </c>
      <c r="L262" s="5">
        <f>INDEX('Revised 2019 Lockdown'!F$5:F$257,MATCH(B262,'Revised 2019 Lockdown'!B$5:B$257,0))</f>
        <v>84</v>
      </c>
      <c r="M262" s="5">
        <f t="shared" si="59"/>
        <v>0</v>
      </c>
      <c r="N262" s="5">
        <v>123264.86</v>
      </c>
      <c r="O262" s="60">
        <f>INDEX('Revised 2019 Lockdown'!G$5:G$257,MATCH(B262,'Revised 2019 Lockdown'!B$5:B$257,0))</f>
        <v>123264.86</v>
      </c>
      <c r="P262" s="5">
        <f t="shared" si="60"/>
        <v>0</v>
      </c>
      <c r="Q262" s="58">
        <f t="shared" si="61"/>
        <v>1618.2959580023812</v>
      </c>
      <c r="R262" s="6">
        <f t="shared" si="49"/>
        <v>1618.2959580023812</v>
      </c>
      <c r="S262" s="5">
        <f t="shared" si="62"/>
        <v>123264.86</v>
      </c>
      <c r="T262" s="82">
        <v>0.53009259259259256</v>
      </c>
      <c r="U262" s="60">
        <f t="shared" si="50"/>
        <v>28427.492478556404</v>
      </c>
      <c r="V262" s="60">
        <f t="shared" si="51"/>
        <v>5444.7255977389132</v>
      </c>
      <c r="W262" s="60">
        <f t="shared" si="52"/>
        <v>4520.7609566593164</v>
      </c>
      <c r="X262" s="60">
        <f t="shared" si="53"/>
        <v>1492.4120631294386</v>
      </c>
      <c r="Y262" s="60">
        <f t="shared" si="54"/>
        <v>39885.391096084066</v>
      </c>
      <c r="Z262" s="63">
        <f t="shared" si="55"/>
        <v>0.32357470812106603</v>
      </c>
      <c r="AA262" s="59">
        <f t="shared" si="56"/>
        <v>39886.64122042762</v>
      </c>
      <c r="AB262" s="60"/>
      <c r="AC262" s="59">
        <v>39996.772964028045</v>
      </c>
      <c r="AD262" s="106">
        <f t="shared" si="63"/>
        <v>-110.13174360042467</v>
      </c>
      <c r="AE262" s="106">
        <v>-109.5829384193421</v>
      </c>
      <c r="AF262" s="106">
        <f t="shared" si="64"/>
        <v>-0.54880518108257093</v>
      </c>
      <c r="AG262" s="59"/>
    </row>
    <row r="263" spans="2:33" x14ac:dyDescent="0.35">
      <c r="B263">
        <v>523</v>
      </c>
      <c r="C263" s="17">
        <v>9</v>
      </c>
      <c r="D263" s="22" t="s">
        <v>261</v>
      </c>
      <c r="E263" s="90">
        <v>698.36058335715143</v>
      </c>
      <c r="F263" s="90">
        <f>INDEX('Revised 2019 Lockdown'!H$5:H$257,MATCH(B263,'Revised 2019 Lockdown'!B$5:B$257,0))</f>
        <v>698.36058335715143</v>
      </c>
      <c r="G263" s="90">
        <f t="shared" si="57"/>
        <v>0</v>
      </c>
      <c r="H263" s="5">
        <v>315458.90999999997</v>
      </c>
      <c r="I263" s="5">
        <f>INDEX('Revised 2019 Lockdown'!E$5:E$257,MATCH(B263,'Revised 2019 Lockdown'!B$5:B$257,0))</f>
        <v>315458.90999999997</v>
      </c>
      <c r="J263" s="5">
        <f t="shared" si="58"/>
        <v>0</v>
      </c>
      <c r="K263" s="5">
        <v>856.49</v>
      </c>
      <c r="L263" s="5">
        <f>INDEX('Revised 2019 Lockdown'!F$5:F$257,MATCH(B263,'Revised 2019 Lockdown'!B$5:B$257,0))</f>
        <v>856.49</v>
      </c>
      <c r="M263" s="5">
        <f t="shared" si="59"/>
        <v>0</v>
      </c>
      <c r="N263" s="5">
        <v>314602.42</v>
      </c>
      <c r="O263" s="60">
        <f>INDEX('Revised 2019 Lockdown'!G$5:G$257,MATCH(B263,'Revised 2019 Lockdown'!B$5:B$257,0))</f>
        <v>314602.42</v>
      </c>
      <c r="P263" s="5">
        <f t="shared" si="60"/>
        <v>0</v>
      </c>
      <c r="Q263" s="58">
        <f t="shared" si="61"/>
        <v>450.48708002339799</v>
      </c>
      <c r="R263" s="6">
        <f t="shared" si="49"/>
        <v>450.48708002339799</v>
      </c>
      <c r="S263" s="5">
        <f t="shared" si="62"/>
        <v>314602.42</v>
      </c>
      <c r="T263" s="82">
        <v>0.67361111111111116</v>
      </c>
      <c r="U263" s="60">
        <f t="shared" si="50"/>
        <v>72553.994125216574</v>
      </c>
      <c r="V263" s="60">
        <f t="shared" si="51"/>
        <v>49919.977260021689</v>
      </c>
      <c r="W263" s="60">
        <f t="shared" si="52"/>
        <v>14661.952979470847</v>
      </c>
      <c r="X263" s="60">
        <f t="shared" si="53"/>
        <v>3809.0048266611761</v>
      </c>
      <c r="Y263" s="60">
        <f t="shared" si="54"/>
        <v>140944.92919137026</v>
      </c>
      <c r="Z263" s="63">
        <f t="shared" si="55"/>
        <v>0.4480096789826673</v>
      </c>
      <c r="AA263" s="59">
        <f t="shared" si="56"/>
        <v>140949.34681602533</v>
      </c>
      <c r="AB263" s="60"/>
      <c r="AC263" s="59">
        <v>141286.17616405725</v>
      </c>
      <c r="AD263" s="106">
        <f t="shared" si="63"/>
        <v>-336.8293480319262</v>
      </c>
      <c r="AE263" s="106">
        <v>-335.37928796367487</v>
      </c>
      <c r="AF263" s="106">
        <f t="shared" si="64"/>
        <v>-1.4500600682513323</v>
      </c>
      <c r="AG263" s="59"/>
    </row>
    <row r="264" spans="2:33" x14ac:dyDescent="0.35">
      <c r="B264">
        <v>527</v>
      </c>
      <c r="C264" s="17">
        <v>9</v>
      </c>
      <c r="D264" s="22" t="s">
        <v>262</v>
      </c>
      <c r="E264" s="90">
        <v>153.26520815767537</v>
      </c>
      <c r="F264" s="90">
        <f>INDEX('Revised 2019 Lockdown'!H$5:H$257,MATCH(B264,'Revised 2019 Lockdown'!B$5:B$257,0))</f>
        <v>153.26520815767537</v>
      </c>
      <c r="G264" s="90">
        <f t="shared" si="57"/>
        <v>0</v>
      </c>
      <c r="H264" s="5">
        <v>133668.4</v>
      </c>
      <c r="I264" s="5">
        <f>INDEX('Revised 2019 Lockdown'!E$5:E$257,MATCH(B264,'Revised 2019 Lockdown'!B$5:B$257,0))</f>
        <v>133668.4</v>
      </c>
      <c r="J264" s="5">
        <f t="shared" si="58"/>
        <v>0</v>
      </c>
      <c r="K264" s="5">
        <v>150</v>
      </c>
      <c r="L264" s="5">
        <f>INDEX('Revised 2019 Lockdown'!F$5:F$257,MATCH(B264,'Revised 2019 Lockdown'!B$5:B$257,0))</f>
        <v>150</v>
      </c>
      <c r="M264" s="5">
        <f t="shared" si="59"/>
        <v>0</v>
      </c>
      <c r="N264" s="5">
        <v>133518.39999999999</v>
      </c>
      <c r="O264" s="60">
        <f>INDEX('Revised 2019 Lockdown'!G$5:G$257,MATCH(B264,'Revised 2019 Lockdown'!B$5:B$257,0))</f>
        <v>133518.39999999999</v>
      </c>
      <c r="P264" s="5">
        <f t="shared" si="60"/>
        <v>0</v>
      </c>
      <c r="Q264" s="58">
        <f t="shared" si="61"/>
        <v>871.15922527335522</v>
      </c>
      <c r="R264" s="6">
        <f t="shared" si="49"/>
        <v>871.15922527335522</v>
      </c>
      <c r="S264" s="5">
        <f t="shared" si="62"/>
        <v>133518.39999999999</v>
      </c>
      <c r="T264" s="82">
        <v>0.64583333333333326</v>
      </c>
      <c r="U264" s="60">
        <f t="shared" si="50"/>
        <v>30792.176389515109</v>
      </c>
      <c r="V264" s="60">
        <f t="shared" si="51"/>
        <v>10955.652263768756</v>
      </c>
      <c r="W264" s="60">
        <f t="shared" si="52"/>
        <v>5965.9841754685513</v>
      </c>
      <c r="X264" s="60">
        <f t="shared" si="53"/>
        <v>1616.5553654929849</v>
      </c>
      <c r="Y264" s="60">
        <f t="shared" si="54"/>
        <v>49330.368194245399</v>
      </c>
      <c r="Z264" s="63">
        <f t="shared" si="55"/>
        <v>0.36946494411440972</v>
      </c>
      <c r="AA264" s="59">
        <f t="shared" si="56"/>
        <v>49331.914351684536</v>
      </c>
      <c r="AB264" s="60"/>
      <c r="AC264" s="59">
        <v>49460.902713486052</v>
      </c>
      <c r="AD264" s="106">
        <f t="shared" si="63"/>
        <v>-128.98836180151557</v>
      </c>
      <c r="AE264" s="106">
        <v>-128.37697986936109</v>
      </c>
      <c r="AF264" s="106">
        <f t="shared" si="64"/>
        <v>-0.61138193215447245</v>
      </c>
      <c r="AG264" s="59"/>
    </row>
    <row r="265" spans="2:33" x14ac:dyDescent="0.35">
      <c r="B265">
        <v>543</v>
      </c>
      <c r="C265" s="17">
        <v>9</v>
      </c>
      <c r="D265" s="22" t="s">
        <v>263</v>
      </c>
      <c r="E265" s="90">
        <v>79.576987566988208</v>
      </c>
      <c r="F265" s="90">
        <f>INDEX('Revised 2019 Lockdown'!H$5:H$257,MATCH(B265,'Revised 2019 Lockdown'!B$5:B$257,0))</f>
        <v>79.576987566988208</v>
      </c>
      <c r="G265" s="90">
        <f t="shared" si="57"/>
        <v>0</v>
      </c>
      <c r="H265" s="5">
        <v>46654.18</v>
      </c>
      <c r="I265" s="5">
        <f>INDEX('Revised 2019 Lockdown'!E$5:E$257,MATCH(B265,'Revised 2019 Lockdown'!B$5:B$257,0))</f>
        <v>46654.18</v>
      </c>
      <c r="J265" s="5">
        <f t="shared" si="58"/>
        <v>0</v>
      </c>
      <c r="K265" s="5">
        <v>0</v>
      </c>
      <c r="L265" s="5">
        <f>INDEX('Revised 2019 Lockdown'!F$5:F$257,MATCH(B265,'Revised 2019 Lockdown'!B$5:B$257,0))</f>
        <v>0</v>
      </c>
      <c r="M265" s="5">
        <f t="shared" si="59"/>
        <v>0</v>
      </c>
      <c r="N265" s="5">
        <v>46654.18</v>
      </c>
      <c r="O265" s="60">
        <f>INDEX('Revised 2019 Lockdown'!G$5:G$257,MATCH(B265,'Revised 2019 Lockdown'!B$5:B$257,0))</f>
        <v>46654.18</v>
      </c>
      <c r="P265" s="5">
        <f t="shared" si="60"/>
        <v>0</v>
      </c>
      <c r="Q265" s="58">
        <f t="shared" si="61"/>
        <v>586.2772822447738</v>
      </c>
      <c r="R265" s="6">
        <f t="shared" si="49"/>
        <v>586.2772822447738</v>
      </c>
      <c r="S265" s="5">
        <f t="shared" si="62"/>
        <v>46654.18</v>
      </c>
      <c r="T265" s="82">
        <v>0.20833333333333334</v>
      </c>
      <c r="U265" s="60">
        <f t="shared" si="50"/>
        <v>10759.443940821549</v>
      </c>
      <c r="V265" s="60">
        <f t="shared" si="51"/>
        <v>5688.295565979126</v>
      </c>
      <c r="W265" s="60">
        <f t="shared" si="52"/>
        <v>672.46524630134684</v>
      </c>
      <c r="X265" s="60">
        <f t="shared" si="53"/>
        <v>564.85896327154535</v>
      </c>
      <c r="Y265" s="60">
        <f t="shared" si="54"/>
        <v>17685.063716373566</v>
      </c>
      <c r="Z265" s="63">
        <f t="shared" si="55"/>
        <v>0.37906707858488919</v>
      </c>
      <c r="AA265" s="59">
        <f t="shared" si="56"/>
        <v>17685.618017787234</v>
      </c>
      <c r="AB265" s="60"/>
      <c r="AC265" s="59">
        <v>17728.905601212682</v>
      </c>
      <c r="AD265" s="106">
        <f t="shared" si="63"/>
        <v>-43.287583425448247</v>
      </c>
      <c r="AE265" s="106">
        <v>-43.096340506977867</v>
      </c>
      <c r="AF265" s="106">
        <f t="shared" si="64"/>
        <v>-0.19124291847037966</v>
      </c>
      <c r="AG265" s="59"/>
    </row>
    <row r="266" spans="2:33" x14ac:dyDescent="0.35">
      <c r="B266">
        <v>547</v>
      </c>
      <c r="C266" s="17">
        <v>9</v>
      </c>
      <c r="D266" s="22" t="s">
        <v>264</v>
      </c>
      <c r="E266" s="90">
        <v>219.72789419435514</v>
      </c>
      <c r="F266" s="90">
        <f>INDEX('Revised 2019 Lockdown'!H$5:H$257,MATCH(B266,'Revised 2019 Lockdown'!B$5:B$257,0))</f>
        <v>219.72789419435514</v>
      </c>
      <c r="G266" s="90">
        <f t="shared" si="57"/>
        <v>0</v>
      </c>
      <c r="H266" s="5">
        <v>122138.68</v>
      </c>
      <c r="I266" s="5">
        <f>INDEX('Revised 2019 Lockdown'!E$5:E$257,MATCH(B266,'Revised 2019 Lockdown'!B$5:B$257,0))</f>
        <v>122138.68</v>
      </c>
      <c r="J266" s="5">
        <f t="shared" si="58"/>
        <v>0</v>
      </c>
      <c r="K266" s="5">
        <v>0</v>
      </c>
      <c r="L266" s="5">
        <f>INDEX('Revised 2019 Lockdown'!F$5:F$257,MATCH(B266,'Revised 2019 Lockdown'!B$5:B$257,0))</f>
        <v>0</v>
      </c>
      <c r="M266" s="5">
        <f t="shared" si="59"/>
        <v>0</v>
      </c>
      <c r="N266" s="5">
        <v>122138.68</v>
      </c>
      <c r="O266" s="60">
        <f>INDEX('Revised 2019 Lockdown'!G$5:G$257,MATCH(B266,'Revised 2019 Lockdown'!B$5:B$257,0))</f>
        <v>122138.68</v>
      </c>
      <c r="P266" s="5">
        <f t="shared" si="60"/>
        <v>0</v>
      </c>
      <c r="Q266" s="58">
        <f t="shared" si="61"/>
        <v>555.8633347296593</v>
      </c>
      <c r="R266" s="6">
        <f t="shared" si="49"/>
        <v>555.8633347296593</v>
      </c>
      <c r="S266" s="5">
        <f t="shared" si="62"/>
        <v>122138.68</v>
      </c>
      <c r="T266" s="82">
        <v>0.83333333333333348</v>
      </c>
      <c r="U266" s="60">
        <f t="shared" si="50"/>
        <v>28167.771472265555</v>
      </c>
      <c r="V266" s="60">
        <f t="shared" si="51"/>
        <v>15706.515721213114</v>
      </c>
      <c r="W266" s="60">
        <f t="shared" si="52"/>
        <v>7041.9428680663905</v>
      </c>
      <c r="X266" s="60">
        <f t="shared" si="53"/>
        <v>1478.7769961910174</v>
      </c>
      <c r="Y266" s="60">
        <f t="shared" si="54"/>
        <v>52395.007057736075</v>
      </c>
      <c r="Z266" s="63">
        <f t="shared" si="55"/>
        <v>0.42897964066531646</v>
      </c>
      <c r="AA266" s="59">
        <f t="shared" si="56"/>
        <v>52396.649269884525</v>
      </c>
      <c r="AB266" s="60"/>
      <c r="AC266" s="59">
        <v>52526.674910294983</v>
      </c>
      <c r="AD266" s="106">
        <f t="shared" si="63"/>
        <v>-130.02564041045844</v>
      </c>
      <c r="AE266" s="106">
        <v>-129.44127725763974</v>
      </c>
      <c r="AF266" s="106">
        <f t="shared" si="64"/>
        <v>-0.58436315281869611</v>
      </c>
      <c r="AG266" s="59"/>
    </row>
    <row r="267" spans="2:33" x14ac:dyDescent="0.35">
      <c r="B267">
        <v>550</v>
      </c>
      <c r="C267" s="17">
        <v>9</v>
      </c>
      <c r="D267" s="22" t="s">
        <v>166</v>
      </c>
      <c r="E267" s="90">
        <v>242.01</v>
      </c>
      <c r="F267" s="90">
        <f>INDEX('Revised 2019 Lockdown'!H$5:H$257,MATCH(B267,'Revised 2019 Lockdown'!B$5:B$257,0))</f>
        <v>242.01</v>
      </c>
      <c r="G267" s="90">
        <f t="shared" si="57"/>
        <v>0</v>
      </c>
      <c r="H267" s="5">
        <v>463950.3</v>
      </c>
      <c r="I267" s="5">
        <f>INDEX('Revised 2019 Lockdown'!E$5:E$257,MATCH(B267,'Revised 2019 Lockdown'!B$5:B$257,0))</f>
        <v>463950.3</v>
      </c>
      <c r="J267" s="5">
        <f t="shared" si="58"/>
        <v>0</v>
      </c>
      <c r="K267" s="5">
        <v>1281.74</v>
      </c>
      <c r="L267" s="5">
        <f>INDEX('Revised 2019 Lockdown'!F$5:F$257,MATCH(B267,'Revised 2019 Lockdown'!B$5:B$257,0))</f>
        <v>1281.74</v>
      </c>
      <c r="M267" s="5">
        <f t="shared" si="59"/>
        <v>0</v>
      </c>
      <c r="N267" s="5">
        <v>462668.56</v>
      </c>
      <c r="O267" s="60">
        <f>INDEX('Revised 2019 Lockdown'!G$5:G$257,MATCH(B267,'Revised 2019 Lockdown'!B$5:B$257,0))</f>
        <v>462668.56</v>
      </c>
      <c r="P267" s="5">
        <f t="shared" si="60"/>
        <v>0</v>
      </c>
      <c r="Q267" s="58">
        <f t="shared" ref="Q267:Q274" si="65">IFERROR(O267/F267,"n.a.")</f>
        <v>1911.7745547704642</v>
      </c>
      <c r="R267" s="6">
        <f t="shared" ref="R267:R274" si="66">MIN(Q267,INDEX($V$3:$V$11,MATCH(C267,$S$3:$S$11,0)))</f>
        <v>1695.4343716100057</v>
      </c>
      <c r="S267" s="5">
        <f t="shared" si="62"/>
        <v>410312.07227333746</v>
      </c>
      <c r="T267" s="82">
        <v>0.69907407407407396</v>
      </c>
      <c r="U267" s="60">
        <f t="shared" ref="U267:U274" si="67">$E$14*(S267/$S$24)</f>
        <v>94626.670962115168</v>
      </c>
      <c r="V267" s="60">
        <f t="shared" ref="V267:V274" si="68">$E$15*(F267/$F$24)</f>
        <v>17299.277743628591</v>
      </c>
      <c r="W267" s="60">
        <f t="shared" ref="W267:W274" si="69">IFERROR(T267*$E$16*(S267/$S$24),0)</f>
        <v>19845.315715665813</v>
      </c>
      <c r="X267" s="60">
        <f t="shared" ref="X267:X274" si="70">($W$23+$E$9)*(S267/$S$24)</f>
        <v>4967.7960637635642</v>
      </c>
      <c r="Y267" s="60">
        <f t="shared" ref="Y267:Y274" si="71">U267+V267+W267+X267</f>
        <v>136739.06048517313</v>
      </c>
      <c r="Z267" s="63">
        <f t="shared" ref="Z267:Z274" si="72">IFERROR((Y267/S267),0)</f>
        <v>0.33325624500290529</v>
      </c>
      <c r="AA267" s="59">
        <f t="shared" ref="AA267:AA274" si="73">IF(Z267&gt;$Z$19,$Z$19*S267,Y267+($Z$23*Y267/$Z$22))</f>
        <v>136743.34628565121</v>
      </c>
      <c r="AB267" s="60"/>
      <c r="AC267" s="59">
        <v>136978.32879351635</v>
      </c>
      <c r="AD267" s="106">
        <f t="shared" si="63"/>
        <v>-234.98250786514836</v>
      </c>
      <c r="AE267" s="106">
        <v>-233.08404810036882</v>
      </c>
      <c r="AF267" s="106">
        <f t="shared" si="64"/>
        <v>-1.8984597647795454</v>
      </c>
      <c r="AG267" s="59"/>
    </row>
    <row r="268" spans="2:33" x14ac:dyDescent="0.35">
      <c r="B268">
        <v>552</v>
      </c>
      <c r="C268" s="17">
        <v>9</v>
      </c>
      <c r="D268" s="22" t="s">
        <v>265</v>
      </c>
      <c r="E268" s="90">
        <v>122.80000000000001</v>
      </c>
      <c r="F268" s="90">
        <f>INDEX('Revised 2019 Lockdown'!H$5:H$257,MATCH(B268,'Revised 2019 Lockdown'!B$5:B$257,0))</f>
        <v>122.80000000000001</v>
      </c>
      <c r="G268" s="90">
        <f t="shared" si="57"/>
        <v>0</v>
      </c>
      <c r="H268" s="5">
        <v>141789.49</v>
      </c>
      <c r="I268" s="5">
        <f>INDEX('Revised 2019 Lockdown'!E$5:E$257,MATCH(B268,'Revised 2019 Lockdown'!B$5:B$257,0))</f>
        <v>142363.06</v>
      </c>
      <c r="J268" s="5">
        <f t="shared" si="58"/>
        <v>573.57000000000698</v>
      </c>
      <c r="K268" s="5">
        <v>0</v>
      </c>
      <c r="L268" s="5">
        <f>INDEX('Revised 2019 Lockdown'!F$5:F$257,MATCH(B268,'Revised 2019 Lockdown'!B$5:B$257,0))</f>
        <v>0</v>
      </c>
      <c r="M268" s="5">
        <f t="shared" si="59"/>
        <v>0</v>
      </c>
      <c r="N268" s="5">
        <v>141789.49</v>
      </c>
      <c r="O268" s="60">
        <f>INDEX('Revised 2019 Lockdown'!G$5:G$257,MATCH(B268,'Revised 2019 Lockdown'!B$5:B$257,0))</f>
        <v>142363.06</v>
      </c>
      <c r="P268" s="5">
        <f t="shared" si="60"/>
        <v>573.57000000000698</v>
      </c>
      <c r="Q268" s="58">
        <f t="shared" si="65"/>
        <v>1159.3083061889249</v>
      </c>
      <c r="R268" s="6">
        <f t="shared" si="66"/>
        <v>1159.3083061889249</v>
      </c>
      <c r="S268" s="5">
        <f t="shared" si="62"/>
        <v>142363.06</v>
      </c>
      <c r="T268" s="82">
        <v>0.55208333333333326</v>
      </c>
      <c r="U268" s="60">
        <f t="shared" si="67"/>
        <v>32831.942675100378</v>
      </c>
      <c r="V268" s="60">
        <f t="shared" si="68"/>
        <v>8777.9484604668869</v>
      </c>
      <c r="W268" s="60">
        <f t="shared" si="69"/>
        <v>5437.7905055634992</v>
      </c>
      <c r="X268" s="60">
        <f t="shared" si="70"/>
        <v>1723.6408501824449</v>
      </c>
      <c r="Y268" s="60">
        <f t="shared" si="71"/>
        <v>48771.322491313207</v>
      </c>
      <c r="Z268" s="63">
        <f t="shared" si="72"/>
        <v>0.34258411199726396</v>
      </c>
      <c r="AA268" s="59">
        <f t="shared" si="73"/>
        <v>48772.851126631511</v>
      </c>
      <c r="AB268" s="60"/>
      <c r="AC268" s="59">
        <v>48742.283349819372</v>
      </c>
      <c r="AD268" s="106">
        <f t="shared" si="63"/>
        <v>30.567776812138618</v>
      </c>
      <c r="AE268" s="106">
        <v>31.205035286286147</v>
      </c>
      <c r="AF268" s="106">
        <f t="shared" si="64"/>
        <v>-0.63725847414752934</v>
      </c>
      <c r="AG268" s="59"/>
    </row>
    <row r="269" spans="2:33" x14ac:dyDescent="0.35">
      <c r="B269">
        <v>567</v>
      </c>
      <c r="C269" s="17">
        <v>9</v>
      </c>
      <c r="D269" s="22" t="s">
        <v>266</v>
      </c>
      <c r="E269" s="90">
        <v>359.29341894128856</v>
      </c>
      <c r="F269" s="90">
        <f>INDEX('Revised 2019 Lockdown'!H$5:H$257,MATCH(B269,'Revised 2019 Lockdown'!B$5:B$257,0))</f>
        <v>359.29341894128856</v>
      </c>
      <c r="G269" s="90">
        <f t="shared" si="57"/>
        <v>0</v>
      </c>
      <c r="H269" s="5">
        <v>233157.95</v>
      </c>
      <c r="I269" s="5">
        <f>INDEX('Revised 2019 Lockdown'!E$5:E$257,MATCH(B269,'Revised 2019 Lockdown'!B$5:B$257,0))</f>
        <v>233157.95</v>
      </c>
      <c r="J269" s="5">
        <f t="shared" si="58"/>
        <v>0</v>
      </c>
      <c r="K269" s="5">
        <v>0</v>
      </c>
      <c r="L269" s="5">
        <f>INDEX('Revised 2019 Lockdown'!F$5:F$257,MATCH(B269,'Revised 2019 Lockdown'!B$5:B$257,0))</f>
        <v>0</v>
      </c>
      <c r="M269" s="5">
        <f t="shared" si="59"/>
        <v>0</v>
      </c>
      <c r="N269" s="5">
        <v>233157.95</v>
      </c>
      <c r="O269" s="60">
        <f>INDEX('Revised 2019 Lockdown'!G$5:G$257,MATCH(B269,'Revised 2019 Lockdown'!B$5:B$257,0))</f>
        <v>233157.95</v>
      </c>
      <c r="P269" s="5">
        <f t="shared" si="60"/>
        <v>0</v>
      </c>
      <c r="Q269" s="58">
        <f t="shared" si="65"/>
        <v>648.93465259406798</v>
      </c>
      <c r="R269" s="6">
        <f t="shared" si="66"/>
        <v>648.93465259406798</v>
      </c>
      <c r="S269" s="5">
        <f t="shared" si="62"/>
        <v>233157.95</v>
      </c>
      <c r="T269" s="82">
        <v>0.68287037037037046</v>
      </c>
      <c r="U269" s="60">
        <f t="shared" si="67"/>
        <v>53771.171037233406</v>
      </c>
      <c r="V269" s="60">
        <f t="shared" si="68"/>
        <v>25682.891804980194</v>
      </c>
      <c r="W269" s="60">
        <f t="shared" si="69"/>
        <v>11015.621844433232</v>
      </c>
      <c r="X269" s="60">
        <f t="shared" si="70"/>
        <v>2822.9272900202905</v>
      </c>
      <c r="Y269" s="60">
        <f t="shared" si="71"/>
        <v>93292.611976667133</v>
      </c>
      <c r="Z269" s="63">
        <f t="shared" si="72"/>
        <v>0.40012623192418328</v>
      </c>
      <c r="AA269" s="59">
        <f t="shared" si="73"/>
        <v>93295.536038888938</v>
      </c>
      <c r="AB269" s="60"/>
      <c r="AC269" s="59">
        <v>93531.008538124981</v>
      </c>
      <c r="AD269" s="106">
        <f t="shared" si="63"/>
        <v>-235.47249923604249</v>
      </c>
      <c r="AE269" s="106">
        <v>-234.39542267250363</v>
      </c>
      <c r="AF269" s="106">
        <f t="shared" si="64"/>
        <v>-1.077076563538867</v>
      </c>
      <c r="AG269" s="59"/>
    </row>
    <row r="270" spans="2:33" x14ac:dyDescent="0.35">
      <c r="B270">
        <v>629</v>
      </c>
      <c r="C270" s="17">
        <v>9</v>
      </c>
      <c r="D270" s="22" t="s">
        <v>267</v>
      </c>
      <c r="E270" s="90">
        <v>239.08999999999997</v>
      </c>
      <c r="F270" s="90">
        <f>INDEX('Revised 2019 Lockdown'!H$5:H$257,MATCH(B270,'Revised 2019 Lockdown'!B$5:B$257,0))</f>
        <v>239.08999999999997</v>
      </c>
      <c r="G270" s="90">
        <f t="shared" si="57"/>
        <v>0</v>
      </c>
      <c r="H270" s="5">
        <v>172741.52</v>
      </c>
      <c r="I270" s="5">
        <f>INDEX('Revised 2019 Lockdown'!E$5:E$257,MATCH(B270,'Revised 2019 Lockdown'!B$5:B$257,0))</f>
        <v>172741.52</v>
      </c>
      <c r="J270" s="5">
        <f t="shared" si="58"/>
        <v>0</v>
      </c>
      <c r="K270" s="5">
        <v>3864.35</v>
      </c>
      <c r="L270" s="5">
        <f>INDEX('Revised 2019 Lockdown'!F$5:F$257,MATCH(B270,'Revised 2019 Lockdown'!B$5:B$257,0))</f>
        <v>3864.35</v>
      </c>
      <c r="M270" s="5">
        <f t="shared" si="59"/>
        <v>0</v>
      </c>
      <c r="N270" s="5">
        <v>168877.16999999998</v>
      </c>
      <c r="O270" s="60">
        <f>INDEX('Revised 2019 Lockdown'!G$5:G$257,MATCH(B270,'Revised 2019 Lockdown'!B$5:B$257,0))</f>
        <v>168877.16999999998</v>
      </c>
      <c r="P270" s="5">
        <f t="shared" si="60"/>
        <v>0</v>
      </c>
      <c r="Q270" s="58">
        <f t="shared" si="65"/>
        <v>706.33305449830607</v>
      </c>
      <c r="R270" s="6">
        <f t="shared" si="66"/>
        <v>706.33305449830607</v>
      </c>
      <c r="S270" s="5">
        <f t="shared" si="62"/>
        <v>168877.16999999998</v>
      </c>
      <c r="T270" s="82">
        <v>0.57638888888888884</v>
      </c>
      <c r="U270" s="60">
        <f t="shared" si="67"/>
        <v>38946.659088201544</v>
      </c>
      <c r="V270" s="60">
        <f t="shared" si="68"/>
        <v>17090.551281865046</v>
      </c>
      <c r="W270" s="60">
        <f t="shared" si="69"/>
        <v>6734.5264673348493</v>
      </c>
      <c r="X270" s="60">
        <f t="shared" si="70"/>
        <v>2044.6567310031496</v>
      </c>
      <c r="Y270" s="60">
        <f t="shared" si="71"/>
        <v>64816.393568404586</v>
      </c>
      <c r="Z270" s="63">
        <f t="shared" si="72"/>
        <v>0.38380790943147963</v>
      </c>
      <c r="AA270" s="59">
        <f t="shared" si="73"/>
        <v>64818.425102989924</v>
      </c>
      <c r="AB270" s="60"/>
      <c r="AC270" s="59">
        <v>64983.34147902015</v>
      </c>
      <c r="AD270" s="106">
        <f t="shared" si="63"/>
        <v>-164.91637603022536</v>
      </c>
      <c r="AE270" s="106">
        <v>-164.15595677860983</v>
      </c>
      <c r="AF270" s="106">
        <f t="shared" si="64"/>
        <v>-0.76041925161553081</v>
      </c>
      <c r="AG270" s="59"/>
    </row>
    <row r="271" spans="2:33" x14ac:dyDescent="0.35">
      <c r="B271">
        <v>630</v>
      </c>
      <c r="C271" s="17">
        <v>9</v>
      </c>
      <c r="D271" s="22" t="s">
        <v>268</v>
      </c>
      <c r="E271" s="90">
        <v>168.82</v>
      </c>
      <c r="F271" s="90">
        <f>INDEX('Revised 2019 Lockdown'!H$5:H$257,MATCH(B271,'Revised 2019 Lockdown'!B$5:B$257,0))</f>
        <v>168.82</v>
      </c>
      <c r="G271" s="90">
        <f t="shared" si="57"/>
        <v>0</v>
      </c>
      <c r="H271" s="5">
        <v>241664.73</v>
      </c>
      <c r="I271" s="5">
        <f>INDEX('Revised 2019 Lockdown'!E$5:E$257,MATCH(B271,'Revised 2019 Lockdown'!B$5:B$257,0))</f>
        <v>241664.73</v>
      </c>
      <c r="J271" s="5">
        <f t="shared" si="58"/>
        <v>0</v>
      </c>
      <c r="K271" s="5">
        <v>2804.11</v>
      </c>
      <c r="L271" s="5">
        <f>INDEX('Revised 2019 Lockdown'!F$5:F$257,MATCH(B271,'Revised 2019 Lockdown'!B$5:B$257,0))</f>
        <v>2804.11</v>
      </c>
      <c r="M271" s="5">
        <f t="shared" si="59"/>
        <v>0</v>
      </c>
      <c r="N271" s="5">
        <v>238860.62000000002</v>
      </c>
      <c r="O271" s="60">
        <f>INDEX('Revised 2019 Lockdown'!G$5:G$257,MATCH(B271,'Revised 2019 Lockdown'!B$5:B$257,0))</f>
        <v>238860.62000000002</v>
      </c>
      <c r="P271" s="5">
        <f t="shared" si="60"/>
        <v>0</v>
      </c>
      <c r="Q271" s="58">
        <f t="shared" si="65"/>
        <v>1414.8834261343445</v>
      </c>
      <c r="R271" s="6">
        <f t="shared" si="66"/>
        <v>1414.8834261343445</v>
      </c>
      <c r="S271" s="5">
        <f t="shared" si="62"/>
        <v>238860.62000000002</v>
      </c>
      <c r="T271" s="82">
        <v>0.69444444444444442</v>
      </c>
      <c r="U271" s="60">
        <f t="shared" si="67"/>
        <v>55086.327753694924</v>
      </c>
      <c r="V271" s="60">
        <f t="shared" si="68"/>
        <v>12067.534683192343</v>
      </c>
      <c r="W271" s="60">
        <f t="shared" si="69"/>
        <v>11476.318282019776</v>
      </c>
      <c r="X271" s="60">
        <f t="shared" si="70"/>
        <v>2891.9715699557592</v>
      </c>
      <c r="Y271" s="60">
        <f t="shared" si="71"/>
        <v>81522.152288862795</v>
      </c>
      <c r="Z271" s="63">
        <f t="shared" si="72"/>
        <v>0.34129590842083046</v>
      </c>
      <c r="AA271" s="59">
        <f t="shared" si="73"/>
        <v>81524.707430590497</v>
      </c>
      <c r="AB271" s="60"/>
      <c r="AC271" s="59">
        <v>81748.124179157996</v>
      </c>
      <c r="AD271" s="106">
        <f t="shared" si="63"/>
        <v>-223.41674856749887</v>
      </c>
      <c r="AE271" s="106">
        <v>-222.31024450832047</v>
      </c>
      <c r="AF271" s="106">
        <f t="shared" si="64"/>
        <v>-1.1065040591784054</v>
      </c>
      <c r="AG271" s="59"/>
    </row>
    <row r="272" spans="2:33" x14ac:dyDescent="0.35">
      <c r="B272">
        <v>771</v>
      </c>
      <c r="C272" s="17">
        <v>9</v>
      </c>
      <c r="D272" s="22" t="s">
        <v>270</v>
      </c>
      <c r="E272" s="90">
        <v>150.2159801536263</v>
      </c>
      <c r="F272" s="90">
        <f>INDEX('Revised 2019 Lockdown'!H$5:H$257,MATCH(B272,'Revised 2019 Lockdown'!B$5:B$257,0))</f>
        <v>150.2159801536263</v>
      </c>
      <c r="G272" s="90">
        <f t="shared" si="57"/>
        <v>0</v>
      </c>
      <c r="H272" s="5">
        <v>70947.31</v>
      </c>
      <c r="I272" s="5">
        <f>INDEX('Revised 2019 Lockdown'!E$5:E$257,MATCH(B272,'Revised 2019 Lockdown'!B$5:B$257,0))</f>
        <v>70947.31</v>
      </c>
      <c r="J272" s="5">
        <f t="shared" si="58"/>
        <v>0</v>
      </c>
      <c r="K272" s="5">
        <v>0</v>
      </c>
      <c r="L272" s="5">
        <f>INDEX('Revised 2019 Lockdown'!F$5:F$257,MATCH(B272,'Revised 2019 Lockdown'!B$5:B$257,0))</f>
        <v>0</v>
      </c>
      <c r="M272" s="5">
        <f t="shared" si="59"/>
        <v>0</v>
      </c>
      <c r="N272" s="5">
        <v>70947.31</v>
      </c>
      <c r="O272" s="60">
        <f>INDEX('Revised 2019 Lockdown'!G$5:G$257,MATCH(B272,'Revised 2019 Lockdown'!B$5:B$257,0))</f>
        <v>70947.31</v>
      </c>
      <c r="P272" s="5">
        <f t="shared" si="60"/>
        <v>0</v>
      </c>
      <c r="Q272" s="58">
        <f t="shared" si="65"/>
        <v>472.30201425601979</v>
      </c>
      <c r="R272" s="6">
        <f t="shared" si="66"/>
        <v>472.30201425601979</v>
      </c>
      <c r="S272" s="5">
        <f t="shared" si="62"/>
        <v>70947.31</v>
      </c>
      <c r="T272" s="82">
        <v>0.40972222222222221</v>
      </c>
      <c r="U272" s="60">
        <f t="shared" si="67"/>
        <v>16361.955235245547</v>
      </c>
      <c r="V272" s="60">
        <f t="shared" si="68"/>
        <v>10737.688369112771</v>
      </c>
      <c r="W272" s="60">
        <f t="shared" si="69"/>
        <v>2011.1569976655981</v>
      </c>
      <c r="X272" s="60">
        <f t="shared" si="70"/>
        <v>858.98463917927495</v>
      </c>
      <c r="Y272" s="60">
        <f t="shared" si="71"/>
        <v>29969.78524120319</v>
      </c>
      <c r="Z272" s="63">
        <f t="shared" si="72"/>
        <v>0.42242313684906718</v>
      </c>
      <c r="AA272" s="59">
        <f t="shared" si="73"/>
        <v>29970.724581574981</v>
      </c>
      <c r="AB272" s="60"/>
      <c r="AC272" s="59">
        <v>30042.175274477133</v>
      </c>
      <c r="AD272" s="106">
        <f t="shared" si="63"/>
        <v>-71.450692902151786</v>
      </c>
      <c r="AE272" s="106">
        <v>-71.144210043228668</v>
      </c>
      <c r="AF272" s="106">
        <f t="shared" si="64"/>
        <v>-0.30648285892311833</v>
      </c>
      <c r="AG272" s="59"/>
    </row>
    <row r="273" spans="2:33" x14ac:dyDescent="0.35">
      <c r="B273">
        <v>830</v>
      </c>
      <c r="C273" s="17">
        <v>9</v>
      </c>
      <c r="D273" s="22" t="s">
        <v>271</v>
      </c>
      <c r="E273" s="90">
        <v>16.12858136239133</v>
      </c>
      <c r="F273" s="90">
        <f>INDEX('Revised 2019 Lockdown'!H$5:H$257,MATCH(B273,'Revised 2019 Lockdown'!B$5:B$257,0))</f>
        <v>16.12858136239133</v>
      </c>
      <c r="G273" s="90">
        <f t="shared" si="57"/>
        <v>0</v>
      </c>
      <c r="H273" s="5">
        <v>29445.96</v>
      </c>
      <c r="I273" s="5">
        <f>INDEX('Revised 2019 Lockdown'!E$5:E$257,MATCH(B273,'Revised 2019 Lockdown'!B$5:B$257,0))</f>
        <v>29445.96</v>
      </c>
      <c r="J273" s="5">
        <f t="shared" si="58"/>
        <v>0</v>
      </c>
      <c r="K273" s="5">
        <v>0</v>
      </c>
      <c r="L273" s="5">
        <f>INDEX('Revised 2019 Lockdown'!F$5:F$257,MATCH(B273,'Revised 2019 Lockdown'!B$5:B$257,0))</f>
        <v>0</v>
      </c>
      <c r="M273" s="5">
        <f t="shared" si="59"/>
        <v>0</v>
      </c>
      <c r="N273" s="5">
        <v>29445.96</v>
      </c>
      <c r="O273" s="60">
        <f>INDEX('Revised 2019 Lockdown'!G$5:G$257,MATCH(B273,'Revised 2019 Lockdown'!B$5:B$257,0))</f>
        <v>29445.96</v>
      </c>
      <c r="P273" s="5">
        <f t="shared" si="60"/>
        <v>0</v>
      </c>
      <c r="Q273" s="58">
        <f t="shared" si="65"/>
        <v>1825.7005584299043</v>
      </c>
      <c r="R273" s="6">
        <f t="shared" si="66"/>
        <v>1695.4343716100057</v>
      </c>
      <c r="S273" s="5">
        <f t="shared" si="62"/>
        <v>27344.951207106795</v>
      </c>
      <c r="T273" s="82">
        <v>0.3125</v>
      </c>
      <c r="U273" s="60">
        <f t="shared" si="67"/>
        <v>6306.3260264646415</v>
      </c>
      <c r="V273" s="60">
        <f t="shared" si="68"/>
        <v>1152.897849670341</v>
      </c>
      <c r="W273" s="60">
        <f t="shared" si="69"/>
        <v>591.21806498106002</v>
      </c>
      <c r="X273" s="60">
        <f t="shared" si="70"/>
        <v>331.07517460509087</v>
      </c>
      <c r="Y273" s="60">
        <f t="shared" si="71"/>
        <v>8381.5171157211335</v>
      </c>
      <c r="Z273" s="63">
        <f t="shared" si="72"/>
        <v>0.30651058955054289</v>
      </c>
      <c r="AA273" s="59">
        <f t="shared" si="73"/>
        <v>8381.7798168829959</v>
      </c>
      <c r="AB273" s="60"/>
      <c r="AC273" s="59">
        <v>8396.1594206265636</v>
      </c>
      <c r="AD273" s="106">
        <f t="shared" si="63"/>
        <v>-14.379603743567714</v>
      </c>
      <c r="AE273" s="106">
        <v>-14.264646004196038</v>
      </c>
      <c r="AF273" s="106">
        <f t="shared" si="64"/>
        <v>-0.11495773937167542</v>
      </c>
      <c r="AG273" s="59"/>
    </row>
    <row r="274" spans="2:33" x14ac:dyDescent="0.35">
      <c r="B274">
        <v>936</v>
      </c>
      <c r="C274" s="17">
        <v>9</v>
      </c>
      <c r="D274" s="22" t="s">
        <v>272</v>
      </c>
      <c r="E274" s="90">
        <v>40.443772007859948</v>
      </c>
      <c r="F274" s="90">
        <f>INDEX('Revised 2019 Lockdown'!H$5:H$257,MATCH(B274,'Revised 2019 Lockdown'!B$5:B$257,0))</f>
        <v>40.443772007859948</v>
      </c>
      <c r="G274" s="90">
        <f t="shared" si="57"/>
        <v>0</v>
      </c>
      <c r="H274" s="5">
        <v>72884.08</v>
      </c>
      <c r="I274" s="5">
        <f>INDEX('Revised 2019 Lockdown'!E$5:E$257,MATCH(B274,'Revised 2019 Lockdown'!B$5:B$257,0))</f>
        <v>72884.08</v>
      </c>
      <c r="J274" s="5">
        <f t="shared" si="58"/>
        <v>0</v>
      </c>
      <c r="K274" s="5">
        <v>0</v>
      </c>
      <c r="L274" s="5">
        <f>INDEX('Revised 2019 Lockdown'!F$5:F$257,MATCH(B274,'Revised 2019 Lockdown'!B$5:B$257,0))</f>
        <v>0</v>
      </c>
      <c r="M274" s="5">
        <f t="shared" si="59"/>
        <v>0</v>
      </c>
      <c r="N274" s="5">
        <v>72884.08</v>
      </c>
      <c r="O274" s="60">
        <f>INDEX('Revised 2019 Lockdown'!G$5:G$257,MATCH(B274,'Revised 2019 Lockdown'!B$5:B$257,0))</f>
        <v>72884.08</v>
      </c>
      <c r="P274" s="5">
        <f t="shared" si="60"/>
        <v>0</v>
      </c>
      <c r="Q274" s="58">
        <f t="shared" si="65"/>
        <v>1802.1088632839567</v>
      </c>
      <c r="R274" s="6">
        <f t="shared" si="66"/>
        <v>1695.4343716100057</v>
      </c>
      <c r="S274" s="5">
        <f t="shared" si="62"/>
        <v>68569.76117968437</v>
      </c>
      <c r="T274" s="82">
        <v>0.40509259259259256</v>
      </c>
      <c r="U274" s="60">
        <f t="shared" si="67"/>
        <v>15813.642024108787</v>
      </c>
      <c r="V274" s="60">
        <f t="shared" si="68"/>
        <v>2890.9881614972965</v>
      </c>
      <c r="W274" s="60">
        <f t="shared" si="69"/>
        <v>1921.7967737632202</v>
      </c>
      <c r="X274" s="60">
        <f t="shared" si="70"/>
        <v>830.19879915870285</v>
      </c>
      <c r="Y274" s="60">
        <f t="shared" si="71"/>
        <v>21456.625758528004</v>
      </c>
      <c r="Z274" s="63">
        <f t="shared" si="72"/>
        <v>0.31291673456907276</v>
      </c>
      <c r="AA274" s="59">
        <f t="shared" si="73"/>
        <v>21457.298271682674</v>
      </c>
      <c r="AB274" s="60"/>
      <c r="AC274" s="59">
        <v>21494.125509354712</v>
      </c>
      <c r="AD274" s="106">
        <f t="shared" si="63"/>
        <v>-36.827237672037882</v>
      </c>
      <c r="AE274" s="106">
        <v>-36.532026088243583</v>
      </c>
      <c r="AF274" s="106">
        <f t="shared" si="64"/>
        <v>-0.29521158379429835</v>
      </c>
      <c r="AG274" s="59"/>
    </row>
    <row r="275" spans="2:33" x14ac:dyDescent="0.35">
      <c r="B275">
        <v>952</v>
      </c>
      <c r="C275" s="17">
        <v>9</v>
      </c>
      <c r="D275" s="22" t="s">
        <v>273</v>
      </c>
      <c r="E275" s="90">
        <v>54.32</v>
      </c>
      <c r="F275" s="90">
        <f>INDEX('Revised 2019 Lockdown'!H$5:H$257,MATCH(B275,'Revised 2019 Lockdown'!B$5:B$257,0))</f>
        <v>54.32</v>
      </c>
      <c r="G275" s="90">
        <f t="shared" si="57"/>
        <v>0</v>
      </c>
      <c r="H275" s="5">
        <v>71284.66</v>
      </c>
      <c r="I275" s="5">
        <f>INDEX('Revised 2019 Lockdown'!E$5:E$257,MATCH(B275,'Revised 2019 Lockdown'!B$5:B$257,0))</f>
        <v>71284.66</v>
      </c>
      <c r="J275" s="5">
        <f t="shared" si="58"/>
        <v>0</v>
      </c>
      <c r="K275" s="5">
        <v>1518.3</v>
      </c>
      <c r="L275" s="5">
        <f>INDEX('Revised 2019 Lockdown'!F$5:F$257,MATCH(B275,'Revised 2019 Lockdown'!B$5:B$257,0))</f>
        <v>1518.3</v>
      </c>
      <c r="M275" s="5">
        <f t="shared" si="59"/>
        <v>0</v>
      </c>
      <c r="N275" s="5">
        <v>69766.36</v>
      </c>
      <c r="O275" s="60">
        <f>INDEX('Revised 2019 Lockdown'!G$5:G$257,MATCH(B275,'Revised 2019 Lockdown'!B$5:B$257,0))</f>
        <v>69766.36</v>
      </c>
      <c r="P275" s="5">
        <f t="shared" si="60"/>
        <v>0</v>
      </c>
      <c r="Q275" s="58">
        <f>IFERROR(O275/F275,"n.a.")</f>
        <v>1284.358615611193</v>
      </c>
      <c r="R275" s="6">
        <f>MIN(Q275,INDEX($V$3:$V$11,MATCH(C275,$S$3:$S$11,0)))</f>
        <v>1284.358615611193</v>
      </c>
      <c r="S275" s="5">
        <f>F275*R275</f>
        <v>69766.36</v>
      </c>
      <c r="T275" s="82">
        <v>0.51388888888888884</v>
      </c>
      <c r="U275" s="60">
        <f>$E$14*(S275/$S$24)</f>
        <v>16089.603104698765</v>
      </c>
      <c r="V275" s="60">
        <f>$E$15*(F275/$F$24)</f>
        <v>3882.8840421218347</v>
      </c>
      <c r="W275" s="60">
        <f>IFERROR(T275*$E$16*(S275/$S$24),0)</f>
        <v>2480.4804786410591</v>
      </c>
      <c r="X275" s="60">
        <f>($W$23+$E$9)*(S275/$S$24)</f>
        <v>844.68645212131946</v>
      </c>
      <c r="Y275" s="60">
        <f>U275+V275+W275+X275</f>
        <v>23297.654077582982</v>
      </c>
      <c r="Z275" s="63">
        <f>IFERROR((Y275/S275),0)</f>
        <v>0.33393822004735496</v>
      </c>
      <c r="AA275" s="59">
        <f>IF(Z275&gt;$Z$19,$Z$19*S275,Y275+($Z$23*Y275/$Z$22))</f>
        <v>23298.384293928109</v>
      </c>
      <c r="AC275" s="59">
        <v>23361.519754032168</v>
      </c>
      <c r="AD275" s="106">
        <f>AA275-AC275</f>
        <v>-63.135460104058438</v>
      </c>
      <c r="AE275" s="106">
        <v>-62.826085759203124</v>
      </c>
      <c r="AF275" s="106">
        <f>AD275-AE275</f>
        <v>-0.30937434485531412</v>
      </c>
    </row>
    <row r="276" spans="2:33" x14ac:dyDescent="0.35">
      <c r="B276">
        <v>982</v>
      </c>
      <c r="C276" s="17">
        <v>9</v>
      </c>
      <c r="D276" s="22" t="s">
        <v>274</v>
      </c>
      <c r="E276" s="90">
        <v>106.72298014171729</v>
      </c>
      <c r="F276" s="90">
        <f>INDEX('Revised 2019 Lockdown'!H$5:H$257,MATCH(B276,'Revised 2019 Lockdown'!B$5:B$257,0))</f>
        <v>106.72298014171729</v>
      </c>
      <c r="G276" s="90">
        <f t="shared" si="57"/>
        <v>0</v>
      </c>
      <c r="H276" s="5">
        <v>139517.66</v>
      </c>
      <c r="I276" s="5">
        <f>INDEX('Revised 2019 Lockdown'!E$5:E$257,MATCH(B276,'Revised 2019 Lockdown'!B$5:B$257,0))</f>
        <v>139517.66</v>
      </c>
      <c r="J276" s="5">
        <f t="shared" si="58"/>
        <v>0</v>
      </c>
      <c r="K276" s="5">
        <v>0</v>
      </c>
      <c r="L276" s="5">
        <f>INDEX('Revised 2019 Lockdown'!F$5:F$257,MATCH(B276,'Revised 2019 Lockdown'!B$5:B$257,0))</f>
        <v>0</v>
      </c>
      <c r="M276" s="5">
        <f t="shared" si="59"/>
        <v>0</v>
      </c>
      <c r="N276" s="5">
        <v>139517.66</v>
      </c>
      <c r="O276" s="60">
        <f>INDEX('Revised 2019 Lockdown'!G$5:G$257,MATCH(B276,'Revised 2019 Lockdown'!B$5:B$257,0))</f>
        <v>139517.66</v>
      </c>
      <c r="P276" s="5">
        <f t="shared" si="60"/>
        <v>0</v>
      </c>
      <c r="Q276" s="58">
        <f>IFERROR(O276/F276,"n.a.")</f>
        <v>1307.2878944603563</v>
      </c>
      <c r="R276" s="6">
        <f>MIN(Q276,INDEX($V$3:$V$11,MATCH(C276,$S$3:$S$11,0)))</f>
        <v>1307.2878944603563</v>
      </c>
      <c r="S276" s="5">
        <f>F276*R276</f>
        <v>139517.66</v>
      </c>
      <c r="T276" s="82">
        <v>8.3333333333333329E-2</v>
      </c>
      <c r="U276" s="60">
        <f>$E$14*(S276/$S$24)</f>
        <v>32175.733053814281</v>
      </c>
      <c r="V276" s="60">
        <f>$E$15*(F276/$F$24)</f>
        <v>7628.7363129594896</v>
      </c>
      <c r="W276" s="60">
        <f>IFERROR(T276*$E$16*(S276/$S$24),0)</f>
        <v>804.39332634535697</v>
      </c>
      <c r="X276" s="60">
        <f>($W$23+$E$9)*(S276/$S$24)</f>
        <v>1689.1905673976473</v>
      </c>
      <c r="Y276" s="60">
        <f>U276+V276+W276+X276</f>
        <v>42298.053260516783</v>
      </c>
      <c r="Z276" s="63">
        <f>IFERROR((Y276/S276),0)</f>
        <v>0.30317347108973003</v>
      </c>
      <c r="AA276" s="59">
        <f>IF(Z276&gt;$Z$19,$Z$19*S276,Y276+($Z$23*Y276/$Z$22))</f>
        <v>42299.379004720686</v>
      </c>
      <c r="AC276" s="59">
        <v>42413.146142609716</v>
      </c>
      <c r="AD276" s="106">
        <f>AA276-AC276</f>
        <v>-113.76713788902998</v>
      </c>
      <c r="AE276" s="106">
        <v>-113.21432005561655</v>
      </c>
      <c r="AF276" s="106">
        <f>AD276-AE276</f>
        <v>-0.55281783341342816</v>
      </c>
    </row>
    <row r="277" spans="2:33" x14ac:dyDescent="0.35">
      <c r="B277">
        <v>987</v>
      </c>
      <c r="C277" s="17">
        <v>9</v>
      </c>
      <c r="D277" s="22" t="s">
        <v>275</v>
      </c>
      <c r="E277" s="90">
        <v>399.24791654162198</v>
      </c>
      <c r="F277" s="90">
        <f>INDEX('Revised 2019 Lockdown'!H$5:H$257,MATCH(B277,'Revised 2019 Lockdown'!B$5:B$257,0))</f>
        <v>399.24791654162198</v>
      </c>
      <c r="G277" s="90">
        <f t="shared" si="57"/>
        <v>0</v>
      </c>
      <c r="H277" s="5">
        <v>108258.73</v>
      </c>
      <c r="I277" s="5">
        <f>INDEX('Revised 2019 Lockdown'!E$5:E$257,MATCH(B277,'Revised 2019 Lockdown'!B$5:B$257,0))</f>
        <v>108258.73</v>
      </c>
      <c r="J277" s="5">
        <f t="shared" si="58"/>
        <v>0</v>
      </c>
      <c r="K277" s="5">
        <v>0</v>
      </c>
      <c r="L277" s="5">
        <f>INDEX('Revised 2019 Lockdown'!F$5:F$257,MATCH(B277,'Revised 2019 Lockdown'!B$5:B$257,0))</f>
        <v>0</v>
      </c>
      <c r="M277" s="5">
        <f t="shared" si="59"/>
        <v>0</v>
      </c>
      <c r="N277" s="5">
        <v>108258.73</v>
      </c>
      <c r="O277" s="60">
        <f>INDEX('Revised 2019 Lockdown'!G$5:G$257,MATCH(B277,'Revised 2019 Lockdown'!B$5:B$257,0))</f>
        <v>108258.73</v>
      </c>
      <c r="P277" s="5">
        <f t="shared" si="60"/>
        <v>0</v>
      </c>
      <c r="Q277" s="58">
        <f>IFERROR(O277/F277,"n.a.")</f>
        <v>271.15665608918442</v>
      </c>
      <c r="R277" s="6">
        <f>MIN(Q277,INDEX($V$3:$V$11,MATCH(C277,$S$3:$S$11,0)))</f>
        <v>271.15665608918442</v>
      </c>
      <c r="S277" s="5">
        <f>F277*R277</f>
        <v>108258.73</v>
      </c>
      <c r="T277" s="82">
        <v>0.53703703703703698</v>
      </c>
      <c r="U277" s="60">
        <f>$E$14*(S277/$S$24)</f>
        <v>24966.760460467554</v>
      </c>
      <c r="V277" s="60">
        <f>$E$15*(F277/$F$24)</f>
        <v>28538.905817191713</v>
      </c>
      <c r="W277" s="60">
        <f>IFERROR(T277*$E$16*(S277/$S$24),0)</f>
        <v>4022.4225186308827</v>
      </c>
      <c r="X277" s="60">
        <f>($W$23+$E$9)*(S277/$S$24)</f>
        <v>1310.7274416331861</v>
      </c>
      <c r="Y277" s="60">
        <f>U277+V277+W277+X277</f>
        <v>58838.81623792334</v>
      </c>
      <c r="Z277" s="63">
        <f>IFERROR((Y277/S277),0)</f>
        <v>0.54350181493837346</v>
      </c>
      <c r="AA277" s="59">
        <f>IF(Z277&gt;$Z$19,$Z$19*S277,Y277+($Z$23*Y277/$Z$22))</f>
        <v>58840.660417822386</v>
      </c>
      <c r="AC277" s="59">
        <v>58968.198241485334</v>
      </c>
      <c r="AD277" s="106">
        <f>AA277-AC277</f>
        <v>-127.53782366294763</v>
      </c>
      <c r="AE277" s="106">
        <v>-127.05509294391231</v>
      </c>
      <c r="AF277" s="106">
        <f>AD277-AE277</f>
        <v>-0.48273071903531672</v>
      </c>
    </row>
    <row r="278" spans="2:33" x14ac:dyDescent="0.35">
      <c r="B278">
        <v>998</v>
      </c>
      <c r="C278" s="17">
        <v>9</v>
      </c>
      <c r="D278" s="22" t="s">
        <v>354</v>
      </c>
      <c r="E278" s="90">
        <v>43.685214957722998</v>
      </c>
      <c r="F278" s="90">
        <f>INDEX('Revised 2019 Lockdown'!H$5:H$257,MATCH(B278,'Revised 2019 Lockdown'!B$5:B$257,0))</f>
        <v>43.685214957722998</v>
      </c>
      <c r="G278" s="90">
        <f t="shared" si="57"/>
        <v>0</v>
      </c>
      <c r="H278" s="5">
        <v>227035.45</v>
      </c>
      <c r="I278" s="5">
        <f>INDEX('Revised 2019 Lockdown'!E$5:E$257,MATCH(B278,'Revised 2019 Lockdown'!B$5:B$257,0))</f>
        <v>227035.45</v>
      </c>
      <c r="J278" s="5">
        <f t="shared" si="58"/>
        <v>0</v>
      </c>
      <c r="K278" s="5">
        <v>0</v>
      </c>
      <c r="L278" s="5">
        <f>INDEX('Revised 2019 Lockdown'!F$5:F$257,MATCH(B278,'Revised 2019 Lockdown'!B$5:B$257,0))</f>
        <v>0</v>
      </c>
      <c r="M278" s="5">
        <f t="shared" si="59"/>
        <v>0</v>
      </c>
      <c r="N278" s="5">
        <v>227035.45</v>
      </c>
      <c r="O278" s="60">
        <f>INDEX('Revised 2019 Lockdown'!G$5:G$257,MATCH(B278,'Revised 2019 Lockdown'!B$5:B$257,0))</f>
        <v>227035.45</v>
      </c>
      <c r="P278" s="5">
        <f t="shared" si="60"/>
        <v>0</v>
      </c>
      <c r="Q278" s="58">
        <f>IFERROR(O278/F278,"n.a.")</f>
        <v>5197.0775517464399</v>
      </c>
      <c r="R278" s="6">
        <f>MIN(Q278,INDEX($V$3:$V$11,MATCH(C278,$S$3:$S$11,0)))</f>
        <v>1695.4343716100057</v>
      </c>
      <c r="S278" s="5">
        <f>F278*R278</f>
        <v>74065.414970495112</v>
      </c>
      <c r="T278" s="82">
        <v>0.55902777777777779</v>
      </c>
      <c r="U278" s="60">
        <f>$E$14*(S278/$S$24)</f>
        <v>17081.056409709214</v>
      </c>
      <c r="V278" s="60">
        <f>$E$15*(F278/$F$24)</f>
        <v>3122.6919005155505</v>
      </c>
      <c r="W278" s="60">
        <f>IFERROR(T278*$E$16*(S278/$S$24),0)</f>
        <v>2864.6355020449823</v>
      </c>
      <c r="X278" s="60">
        <f>($W$23+$E$9)*(S278/$S$24)</f>
        <v>896.73665927706088</v>
      </c>
      <c r="Y278" s="60">
        <f>U278+V278+W278+X278</f>
        <v>23965.120471546805</v>
      </c>
      <c r="Z278" s="63">
        <f>IFERROR((Y278/S278),0)</f>
        <v>0.32356695066237878</v>
      </c>
      <c r="AA278" s="59">
        <f>IF(Z278&gt;$Z$19,$Z$19*S278,Y278+($Z$23*Y278/$Z$22))</f>
        <v>23965.871608233057</v>
      </c>
      <c r="AC278" s="59">
        <v>24007.031674419664</v>
      </c>
      <c r="AD278" s="106">
        <f>AA278-AC278</f>
        <v>-41.160066186606855</v>
      </c>
      <c r="AE278" s="106">
        <v>-40.828722147874942</v>
      </c>
      <c r="AF278" s="106">
        <f>AD278-AE278</f>
        <v>-0.33134403873191332</v>
      </c>
    </row>
  </sheetData>
  <mergeCells count="5">
    <mergeCell ref="B2:K2"/>
    <mergeCell ref="U18:AA18"/>
    <mergeCell ref="Z24:AA24"/>
    <mergeCell ref="D4:G4"/>
    <mergeCell ref="D13:G13"/>
  </mergeCells>
  <conditionalFormatting sqref="B70 B101 B184 B203 B233">
    <cfRule type="expression" dxfId="29" priority="10">
      <formula>$C70&lt;&gt;$C68</formula>
    </cfRule>
  </conditionalFormatting>
  <conditionalFormatting sqref="B102">
    <cfRule type="expression" dxfId="28" priority="12">
      <formula>$C102&lt;&gt;$C99</formula>
    </cfRule>
  </conditionalFormatting>
  <conditionalFormatting sqref="B170 B191">
    <cfRule type="expression" dxfId="27" priority="11">
      <formula>$C170&lt;&gt;#REF!</formula>
    </cfRule>
  </conditionalFormatting>
  <conditionalFormatting sqref="B26:D26 B27:B69 B71:B100 B103:B169 B171:B183 B185:B190 B192:B202 B204:B232 B234:B256">
    <cfRule type="expression" dxfId="26" priority="9">
      <formula>$C26&lt;&gt;$C25</formula>
    </cfRule>
  </conditionalFormatting>
  <conditionalFormatting sqref="C27:D278">
    <cfRule type="expression" dxfId="25" priority="8">
      <formula>$C27&lt;&gt;$C26</formula>
    </cfRule>
  </conditionalFormatting>
  <conditionalFormatting sqref="E19">
    <cfRule type="expression" dxfId="24" priority="31">
      <formula>$C19&lt;&gt;$C18</formula>
    </cfRule>
  </conditionalFormatting>
  <conditionalFormatting sqref="E24:G24">
    <cfRule type="expression" dxfId="23" priority="33">
      <formula>$C24&lt;&gt;$C23</formula>
    </cfRule>
  </conditionalFormatting>
  <conditionalFormatting sqref="E26:P278">
    <cfRule type="expression" dxfId="22" priority="1">
      <formula>$C26&lt;&gt;$C25</formula>
    </cfRule>
  </conditionalFormatting>
  <conditionalFormatting sqref="Q26:Q278 U26:AC26 AB27:AB69 U27:AA278 AC27:AC278 AB71:AB97 AB99:AB102 AB104:AB170 AB172:AB184 AB186:AB191 AB193:AB203 AB205:AB233 AB235:AB265">
    <cfRule type="expression" dxfId="21" priority="48">
      <formula>$C26&lt;&gt;$C25</formula>
    </cfRule>
  </conditionalFormatting>
  <conditionalFormatting sqref="Q26:Q278">
    <cfRule type="expression" dxfId="20" priority="41">
      <formula>$Q26&lt;=$Q$22=TRUE</formula>
    </cfRule>
    <cfRule type="expression" dxfId="19" priority="42">
      <formula>$Q26&gt;=Q$23</formula>
    </cfRule>
  </conditionalFormatting>
  <conditionalFormatting sqref="R26:R278">
    <cfRule type="expression" dxfId="18" priority="2">
      <formula>R26&lt;Q26=TRUE</formula>
    </cfRule>
  </conditionalFormatting>
  <conditionalFormatting sqref="R26:T278">
    <cfRule type="expression" dxfId="17" priority="3">
      <formula>$C26&lt;&gt;$C25</formula>
    </cfRule>
  </conditionalFormatting>
  <conditionalFormatting sqref="T3:T11">
    <cfRule type="expression" dxfId="16" priority="34">
      <formula>$C3&lt;&gt;$C2</formula>
    </cfRule>
  </conditionalFormatting>
  <conditionalFormatting sqref="V3:V11">
    <cfRule type="expression" dxfId="15" priority="45">
      <formula>$C3&lt;&gt;$C2</formula>
    </cfRule>
  </conditionalFormatting>
  <conditionalFormatting sqref="Z26:Z278">
    <cfRule type="expression" dxfId="14" priority="47">
      <formula>Z26&gt;75%</formula>
    </cfRule>
  </conditionalFormatting>
  <conditionalFormatting sqref="AB70 AB98 AB185 AB204 AB234 AB266:AB274">
    <cfRule type="expression" dxfId="13" priority="49">
      <formula>$C70&lt;&gt;$C68</formula>
    </cfRule>
  </conditionalFormatting>
  <conditionalFormatting sqref="AB103">
    <cfRule type="expression" dxfId="12" priority="53">
      <formula>$C103&lt;&gt;$C100</formula>
    </cfRule>
  </conditionalFormatting>
  <conditionalFormatting sqref="AB171 AB192">
    <cfRule type="expression" dxfId="11" priority="51">
      <formula>$C171&lt;&gt;#REF!</formula>
    </cfRule>
  </conditionalFormatting>
  <conditionalFormatting sqref="AD26:AF278">
    <cfRule type="expression" dxfId="10" priority="27">
      <formula>$C26&lt;&gt;$C25</formula>
    </cfRule>
  </conditionalFormatting>
  <pageMargins left="0.7" right="0.7" top="0.75" bottom="0.75" header="0.3" footer="0.3"/>
  <pageSetup orientation="portrait" verticalDpi="0" r:id="rId1"/>
  <ignoredErrors>
    <ignoredError sqref="W2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5C7FA-0727-4359-B7CB-736870E05FA6}">
  <sheetPr codeName="Sheet12">
    <tabColor rgb="FFFFCCFF"/>
  </sheetPr>
  <dimension ref="B2:S258"/>
  <sheetViews>
    <sheetView workbookViewId="0"/>
  </sheetViews>
  <sheetFormatPr defaultRowHeight="14.5" x14ac:dyDescent="0.35"/>
  <cols>
    <col min="1" max="1" width="5.7265625" customWidth="1"/>
    <col min="2" max="3" width="6.7265625" style="1" customWidth="1"/>
    <col min="4" max="4" width="50.7265625" customWidth="1"/>
    <col min="5" max="11" width="14.7265625" customWidth="1"/>
    <col min="12" max="12" width="5.7265625" customWidth="1"/>
    <col min="13" max="19" width="12.7265625" customWidth="1"/>
  </cols>
  <sheetData>
    <row r="2" spans="2:19" x14ac:dyDescent="0.35">
      <c r="B2" s="15" t="s">
        <v>355</v>
      </c>
      <c r="E2" s="14"/>
      <c r="F2" s="85"/>
      <c r="G2" s="14"/>
      <c r="I2" t="s">
        <v>356</v>
      </c>
      <c r="J2" s="13">
        <v>0</v>
      </c>
    </row>
    <row r="3" spans="2:19" x14ac:dyDescent="0.35">
      <c r="K3" s="12"/>
    </row>
    <row r="4" spans="2:19" ht="15" thickBot="1" x14ac:dyDescent="0.4">
      <c r="E4" s="90">
        <f>SUM(E6:E300)</f>
        <v>730841.88021675625</v>
      </c>
      <c r="F4" s="7">
        <f>SUM(F6:F300)</f>
        <v>384374036.62000006</v>
      </c>
      <c r="G4" s="7">
        <f>SUM(G6:G300)</f>
        <v>55058911.009999968</v>
      </c>
      <c r="H4" s="7">
        <f>SUM(H6:H300)</f>
        <v>329315125.61000001</v>
      </c>
      <c r="J4" t="s">
        <v>325</v>
      </c>
      <c r="K4" s="7">
        <f>SUM(K6:K300)</f>
        <v>323609140.1265142</v>
      </c>
      <c r="Q4" s="11">
        <v>0.1</v>
      </c>
      <c r="R4" s="10">
        <f>100%-Q4</f>
        <v>0.9</v>
      </c>
    </row>
    <row r="5" spans="2:19" ht="44" thickBot="1" x14ac:dyDescent="0.4">
      <c r="B5" s="9" t="s">
        <v>6</v>
      </c>
      <c r="C5" s="9" t="s">
        <v>7</v>
      </c>
      <c r="D5" s="9" t="s">
        <v>8</v>
      </c>
      <c r="E5" s="9" t="s">
        <v>357</v>
      </c>
      <c r="F5" s="9" t="s">
        <v>328</v>
      </c>
      <c r="G5" s="9" t="s">
        <v>330</v>
      </c>
      <c r="H5" s="9" t="s">
        <v>332</v>
      </c>
      <c r="I5" s="9" t="s">
        <v>13</v>
      </c>
      <c r="J5" s="9" t="s">
        <v>334</v>
      </c>
      <c r="K5" s="9" t="str">
        <f>"Adjusted Net Cost"&amp;CHAR(10)&amp;TEXT(SUM(K6:K248),"$#,##0")</f>
        <v>Adjusted Net Cost
$322,409,774</v>
      </c>
      <c r="M5" s="9" t="s">
        <v>358</v>
      </c>
      <c r="N5" s="9" t="s">
        <v>359</v>
      </c>
      <c r="O5" s="8" t="s">
        <v>360</v>
      </c>
      <c r="P5" s="8" t="s">
        <v>361</v>
      </c>
      <c r="Q5" s="8" t="s">
        <v>362</v>
      </c>
      <c r="R5" s="8" t="s">
        <v>363</v>
      </c>
      <c r="S5" s="8" t="s">
        <v>334</v>
      </c>
    </row>
    <row r="6" spans="2:19" x14ac:dyDescent="0.35">
      <c r="B6">
        <v>1</v>
      </c>
      <c r="C6" s="17">
        <v>1</v>
      </c>
      <c r="D6" s="22" t="s">
        <v>30</v>
      </c>
      <c r="E6" s="90">
        <f>INDEX('Revised 2019 Lockdown'!H$5:H$257,MATCH(B6,'Revised 2019 Lockdown'!B$5:B$257,0))</f>
        <v>28377.279999999999</v>
      </c>
      <c r="F6" s="7">
        <f>INDEX('Revised 2019 Lockdown'!E$5:E$257,MATCH(B6,'Revised 2019 Lockdown'!B$5:B$257,0))</f>
        <v>9839512.9000000004</v>
      </c>
      <c r="G6" s="7">
        <f>INDEX('Revised 2019 Lockdown'!F$5:F$257,MATCH(B6,'Revised 2019 Lockdown'!B$5:B$257,0))</f>
        <v>303786.2</v>
      </c>
      <c r="H6" s="7">
        <f>F6-G6</f>
        <v>9535726.7000000011</v>
      </c>
      <c r="I6" s="6">
        <f t="shared" ref="I6:I69" si="0">H6/E6</f>
        <v>336.03385172927079</v>
      </c>
      <c r="J6" s="6">
        <f>IF(ISERROR(IF($J$2=1,MAX(MIN(I6,R6),Q6),MIN(I6,R6))),R6,IF($J$2=1,MAX(MIN(I6,R6),Q6),MIN(I6,R6)))</f>
        <v>336.03385172927079</v>
      </c>
      <c r="K6" s="5">
        <f t="shared" ref="K6:K69" si="1">J6*E6</f>
        <v>9535726.7000000011</v>
      </c>
      <c r="L6" s="4">
        <f t="shared" ref="L6:L69" si="2">IF(ISERROR(I6),1,0)</f>
        <v>0</v>
      </c>
      <c r="M6" s="2" cm="1">
        <f t="array" ref="M6">SUMPRODUCT(--($L$6:$L$300&lt;&gt;1),--($C$6:$C$300=$C6),$H$6:$H$300)/SUMPRODUCT(--($L$6:$L$300&lt;&gt;1),--($C$6:$C$300=$C6),$E$6:$E$300)</f>
        <v>502.79727842751083</v>
      </c>
      <c r="N6" s="1" cm="1">
        <f t="array" ref="N6">SUMPRODUCT(--($L$6:$L$300&lt;&gt;1),--($C$6:$C$300=$C6))</f>
        <v>6</v>
      </c>
      <c r="O6" s="3">
        <f>IF(ISERROR((I6-M6)^2),0,(I6-M6)^2)</f>
        <v>27810.040484139277</v>
      </c>
      <c r="P6" s="2" cm="1">
        <f t="array" ref="P6">SQRT(SUMPRODUCT(--($L$6:$L$300&lt;&gt;1),--($C$6:$C$300=$C6),$E$6:$E$300,$O$6:$O$300)/((N6-1)*SUMPRODUCT(--($L$6:$L$300&lt;&gt;1),--($C$6:$C$300=$C6),$E$6:$E$300)/N6))</f>
        <v>107.19886533193221</v>
      </c>
      <c r="Q6" s="2">
        <f t="shared" ref="Q6:R114" si="3">NORMINV(Q$4,$M6,$P6)</f>
        <v>365.4164047367683</v>
      </c>
      <c r="R6" s="2">
        <f t="shared" si="3"/>
        <v>640.17815211825337</v>
      </c>
      <c r="S6" s="2">
        <f>IF(ISERROR(MAX(MIN(I6,R6),Q6)),R6,MAX(MIN(I6,R6),Q6))</f>
        <v>365.4164047367683</v>
      </c>
    </row>
    <row r="7" spans="2:19" x14ac:dyDescent="0.35">
      <c r="B7">
        <v>20</v>
      </c>
      <c r="C7" s="17">
        <v>1</v>
      </c>
      <c r="D7" s="22" t="s">
        <v>31</v>
      </c>
      <c r="E7" s="90">
        <f>INDEX('Revised 2019 Lockdown'!H$5:H$257,MATCH(B7,'Revised 2019 Lockdown'!B$5:B$257,0))</f>
        <v>99784.55</v>
      </c>
      <c r="F7" s="7">
        <f>INDEX('Revised 2019 Lockdown'!E$5:E$257,MATCH(B7,'Revised 2019 Lockdown'!B$5:B$257,0))</f>
        <v>71195179.849999994</v>
      </c>
      <c r="G7" s="7">
        <f>INDEX('Revised 2019 Lockdown'!F$5:F$257,MATCH(B7,'Revised 2019 Lockdown'!B$5:B$257,0))</f>
        <v>8915663.2400000002</v>
      </c>
      <c r="H7" s="7">
        <f t="shared" ref="H7:H70" si="4">F7-G7</f>
        <v>62279516.609999992</v>
      </c>
      <c r="I7" s="6">
        <f t="shared" si="0"/>
        <v>624.1398754616821</v>
      </c>
      <c r="J7" s="6">
        <f t="shared" ref="J7:J70" si="5">IF(ISERROR(IF($J$2=1,MAX(MIN(I7,R7),Q7),MIN(I7,R7))),R7,IF($J$2=1,MAX(MIN(I7,R7),Q7),MIN(I7,R7)))</f>
        <v>624.1398754616821</v>
      </c>
      <c r="K7" s="5">
        <f t="shared" si="1"/>
        <v>62279516.609999992</v>
      </c>
      <c r="L7" s="4">
        <f t="shared" si="2"/>
        <v>0</v>
      </c>
      <c r="M7" s="2" cm="1">
        <f t="array" ref="M7">SUMPRODUCT(--($L$6:$L$300&lt;&gt;1),--($C$6:$C$300=$C7),$H$6:$H$300)/SUMPRODUCT(--($L$6:$L$300&lt;&gt;1),--($C$6:$C$300=$C7),$E$6:$E$300)</f>
        <v>502.79727842751083</v>
      </c>
      <c r="N7" s="1" cm="1">
        <f t="array" ref="N7">SUMPRODUCT(--($L$6:$L$300&lt;&gt;1),--($C$6:$C$300=$C7))</f>
        <v>6</v>
      </c>
      <c r="O7" s="3">
        <f t="shared" ref="O7:O70" si="6">IF(ISERROR((I7-M7)^2),0,(I7-M7)^2)</f>
        <v>14724.025854997268</v>
      </c>
      <c r="P7" s="2" cm="1">
        <f t="array" ref="P7">SQRT(SUMPRODUCT(--($L$6:$L$300&lt;&gt;1),--($C$6:$C$300=$C7),$E$6:$E$300,$O$6:$O$300)/((N7-1)*SUMPRODUCT(--($L$6:$L$300&lt;&gt;1),--($C$6:$C$300=$C7),$E$6:$E$300)/N7))</f>
        <v>107.19886533193221</v>
      </c>
      <c r="Q7" s="2">
        <f t="shared" si="3"/>
        <v>365.4164047367683</v>
      </c>
      <c r="R7" s="2">
        <f t="shared" si="3"/>
        <v>640.17815211825337</v>
      </c>
      <c r="S7" s="2">
        <f t="shared" ref="S7:S70" si="7">IF(ISERROR(MAX(MIN(I7,R7),Q7)),R7,MAX(MIN(I7,R7),Q7))</f>
        <v>624.1398754616821</v>
      </c>
    </row>
    <row r="8" spans="2:19" x14ac:dyDescent="0.35">
      <c r="B8">
        <v>50</v>
      </c>
      <c r="C8" s="17">
        <v>1</v>
      </c>
      <c r="D8" s="22" t="s">
        <v>32</v>
      </c>
      <c r="E8" s="90">
        <f>INDEX('Revised 2019 Lockdown'!H$5:H$257,MATCH(B8,'Revised 2019 Lockdown'!B$5:B$257,0))</f>
        <v>21706.59</v>
      </c>
      <c r="F8" s="7">
        <f>INDEX('Revised 2019 Lockdown'!E$5:E$257,MATCH(B8,'Revised 2019 Lockdown'!B$5:B$257,0))</f>
        <v>10769479.68</v>
      </c>
      <c r="G8" s="7">
        <f>INDEX('Revised 2019 Lockdown'!F$5:F$257,MATCH(B8,'Revised 2019 Lockdown'!B$5:B$257,0))</f>
        <v>1985825.52</v>
      </c>
      <c r="H8" s="7">
        <f t="shared" si="4"/>
        <v>8783654.1600000001</v>
      </c>
      <c r="I8" s="6">
        <f t="shared" si="0"/>
        <v>404.65380144923733</v>
      </c>
      <c r="J8" s="6">
        <f t="shared" si="5"/>
        <v>404.65380144923733</v>
      </c>
      <c r="K8" s="5">
        <f t="shared" si="1"/>
        <v>8783654.1600000001</v>
      </c>
      <c r="L8" s="4">
        <f t="shared" si="2"/>
        <v>0</v>
      </c>
      <c r="M8" s="2" cm="1">
        <f t="array" ref="M8">SUMPRODUCT(--($L$6:$L$300&lt;&gt;1),--($C$6:$C$300=$C8),$H$6:$H$300)/SUMPRODUCT(--($L$6:$L$300&lt;&gt;1),--($C$6:$C$300=$C8),$E$6:$E$300)</f>
        <v>502.79727842751083</v>
      </c>
      <c r="N8" s="1" cm="1">
        <f t="array" ref="N8">SUMPRODUCT(--($L$6:$L$300&lt;&gt;1),--($C$6:$C$300=$C8))</f>
        <v>6</v>
      </c>
      <c r="O8" s="3">
        <f t="shared" si="6"/>
        <v>9632.1420733849009</v>
      </c>
      <c r="P8" s="2" cm="1">
        <f t="array" ref="P8">SQRT(SUMPRODUCT(--($L$6:$L$300&lt;&gt;1),--($C$6:$C$300=$C8),$E$6:$E$300,$O$6:$O$300)/((N8-1)*SUMPRODUCT(--($L$6:$L$300&lt;&gt;1),--($C$6:$C$300=$C8),$E$6:$E$300)/N8))</f>
        <v>107.19886533193221</v>
      </c>
      <c r="Q8" s="2">
        <f t="shared" si="3"/>
        <v>365.4164047367683</v>
      </c>
      <c r="R8" s="2">
        <f t="shared" si="3"/>
        <v>640.17815211825337</v>
      </c>
      <c r="S8" s="2">
        <f t="shared" si="7"/>
        <v>404.65380144923733</v>
      </c>
    </row>
    <row r="9" spans="2:19" x14ac:dyDescent="0.35">
      <c r="B9">
        <v>97</v>
      </c>
      <c r="C9" s="17">
        <v>1</v>
      </c>
      <c r="D9" s="22" t="s">
        <v>33</v>
      </c>
      <c r="E9" s="90">
        <f>INDEX('Revised 2019 Lockdown'!H$5:H$257,MATCH(B9,'Revised 2019 Lockdown'!B$5:B$257,0))</f>
        <v>53554.62000000001</v>
      </c>
      <c r="F9" s="7">
        <f>INDEX('Revised 2019 Lockdown'!E$5:E$257,MATCH(B9,'Revised 2019 Lockdown'!B$5:B$257,0))</f>
        <v>29964286.199999999</v>
      </c>
      <c r="G9" s="7">
        <f>INDEX('Revised 2019 Lockdown'!F$5:F$257,MATCH(B9,'Revised 2019 Lockdown'!B$5:B$257,0))</f>
        <v>4815316.72</v>
      </c>
      <c r="H9" s="7">
        <f t="shared" si="4"/>
        <v>25148969.48</v>
      </c>
      <c r="I9" s="6">
        <f t="shared" si="0"/>
        <v>469.59477034847777</v>
      </c>
      <c r="J9" s="6">
        <f t="shared" si="5"/>
        <v>469.59477034847777</v>
      </c>
      <c r="K9" s="5">
        <f t="shared" si="1"/>
        <v>25148969.48</v>
      </c>
      <c r="L9" s="4">
        <f t="shared" si="2"/>
        <v>0</v>
      </c>
      <c r="M9" s="2" cm="1">
        <f t="array" ref="M9">SUMPRODUCT(--($L$6:$L$300&lt;&gt;1),--($C$6:$C$300=$C9),$H$6:$H$300)/SUMPRODUCT(--($L$6:$L$300&lt;&gt;1),--($C$6:$C$300=$C9),$E$6:$E$300)</f>
        <v>502.79727842751083</v>
      </c>
      <c r="N9" s="1" cm="1">
        <f t="array" ref="N9">SUMPRODUCT(--($L$6:$L$300&lt;&gt;1),--($C$6:$C$300=$C9))</f>
        <v>6</v>
      </c>
      <c r="O9" s="3">
        <f t="shared" si="6"/>
        <v>1102.4065427382561</v>
      </c>
      <c r="P9" s="2" cm="1">
        <f t="array" ref="P9">SQRT(SUMPRODUCT(--($L$6:$L$300&lt;&gt;1),--($C$6:$C$300=$C9),$E$6:$E$300,$O$6:$O$300)/((N9-1)*SUMPRODUCT(--($L$6:$L$300&lt;&gt;1),--($C$6:$C$300=$C9),$E$6:$E$300)/N9))</f>
        <v>107.19886533193221</v>
      </c>
      <c r="Q9" s="2">
        <f t="shared" si="3"/>
        <v>365.4164047367683</v>
      </c>
      <c r="R9" s="2">
        <f t="shared" si="3"/>
        <v>640.17815211825337</v>
      </c>
      <c r="S9" s="2">
        <f t="shared" si="7"/>
        <v>469.59477034847777</v>
      </c>
    </row>
    <row r="10" spans="2:19" x14ac:dyDescent="0.35">
      <c r="B10">
        <v>172</v>
      </c>
      <c r="C10" s="17">
        <v>1</v>
      </c>
      <c r="D10" s="22" t="s">
        <v>34</v>
      </c>
      <c r="E10" s="90">
        <f>INDEX('Revised 2019 Lockdown'!H$5:H$257,MATCH(B10,'Revised 2019 Lockdown'!B$5:B$257,0))</f>
        <v>33148.810000000005</v>
      </c>
      <c r="F10" s="7">
        <f>INDEX('Revised 2019 Lockdown'!E$5:E$257,MATCH(B10,'Revised 2019 Lockdown'!B$5:B$257,0))</f>
        <v>15527274.060000001</v>
      </c>
      <c r="G10" s="7">
        <f>INDEX('Revised 2019 Lockdown'!F$5:F$257,MATCH(B10,'Revised 2019 Lockdown'!B$5:B$257,0))</f>
        <v>2705559.01</v>
      </c>
      <c r="H10" s="7">
        <f t="shared" si="4"/>
        <v>12821715.050000001</v>
      </c>
      <c r="I10" s="6">
        <f t="shared" si="0"/>
        <v>386.79261940323045</v>
      </c>
      <c r="J10" s="6">
        <f t="shared" si="5"/>
        <v>386.79261940323045</v>
      </c>
      <c r="K10" s="5">
        <f t="shared" si="1"/>
        <v>12821715.050000001</v>
      </c>
      <c r="L10" s="4">
        <f t="shared" si="2"/>
        <v>0</v>
      </c>
      <c r="M10" s="2" cm="1">
        <f t="array" ref="M10">SUMPRODUCT(--($L$6:$L$300&lt;&gt;1),--($C$6:$C$300=$C10),$H$6:$H$300)/SUMPRODUCT(--($L$6:$L$300&lt;&gt;1),--($C$6:$C$300=$C10),$E$6:$E$300)</f>
        <v>502.79727842751083</v>
      </c>
      <c r="N10" s="1" cm="1">
        <f t="array" ref="N10">SUMPRODUCT(--($L$6:$L$300&lt;&gt;1),--($C$6:$C$300=$C10))</f>
        <v>6</v>
      </c>
      <c r="O10" s="3">
        <f t="shared" si="6"/>
        <v>13457.080915339557</v>
      </c>
      <c r="P10" s="2" cm="1">
        <f t="array" ref="P10">SQRT(SUMPRODUCT(--($L$6:$L$300&lt;&gt;1),--($C$6:$C$300=$C10),$E$6:$E$300,$O$6:$O$300)/((N10-1)*SUMPRODUCT(--($L$6:$L$300&lt;&gt;1),--($C$6:$C$300=$C10),$E$6:$E$300)/N10))</f>
        <v>107.19886533193221</v>
      </c>
      <c r="Q10" s="2">
        <f t="shared" si="3"/>
        <v>365.4164047367683</v>
      </c>
      <c r="R10" s="2">
        <f t="shared" si="3"/>
        <v>640.17815211825337</v>
      </c>
      <c r="S10" s="2">
        <f t="shared" si="7"/>
        <v>386.79261940323045</v>
      </c>
    </row>
    <row r="11" spans="2:19" x14ac:dyDescent="0.35">
      <c r="B11">
        <v>270</v>
      </c>
      <c r="C11" s="17">
        <v>1</v>
      </c>
      <c r="D11" s="22" t="s">
        <v>35</v>
      </c>
      <c r="E11" s="90">
        <f>INDEX('Revised 2019 Lockdown'!H$5:H$257,MATCH(B11,'Revised 2019 Lockdown'!B$5:B$257,0))</f>
        <v>74041.960000000006</v>
      </c>
      <c r="F11" s="7">
        <f>INDEX('Revised 2019 Lockdown'!E$5:E$257,MATCH(B11,'Revised 2019 Lockdown'!B$5:B$257,0))</f>
        <v>40203570.229999997</v>
      </c>
      <c r="G11" s="7">
        <f>INDEX('Revised 2019 Lockdown'!F$5:F$257,MATCH(B11,'Revised 2019 Lockdown'!B$5:B$257,0))</f>
        <v>2597373.92</v>
      </c>
      <c r="H11" s="7">
        <f t="shared" si="4"/>
        <v>37606196.309999995</v>
      </c>
      <c r="I11" s="6">
        <f t="shared" si="0"/>
        <v>507.90384681874968</v>
      </c>
      <c r="J11" s="6">
        <f t="shared" si="5"/>
        <v>507.90384681874968</v>
      </c>
      <c r="K11" s="5">
        <f t="shared" si="1"/>
        <v>37606196.309999995</v>
      </c>
      <c r="L11" s="4">
        <f t="shared" si="2"/>
        <v>0</v>
      </c>
      <c r="M11" s="2" cm="1">
        <f t="array" ref="M11">SUMPRODUCT(--($L$6:$L$300&lt;&gt;1),--($C$6:$C$300=$C11),$H$6:$H$300)/SUMPRODUCT(--($L$6:$L$300&lt;&gt;1),--($C$6:$C$300=$C11),$E$6:$E$300)</f>
        <v>502.79727842751083</v>
      </c>
      <c r="N11" s="1" cm="1">
        <f t="array" ref="N11">SUMPRODUCT(--($L$6:$L$300&lt;&gt;1),--($C$6:$C$300=$C11))</f>
        <v>6</v>
      </c>
      <c r="O11" s="3">
        <f t="shared" si="6"/>
        <v>26.077040734399759</v>
      </c>
      <c r="P11" s="2" cm="1">
        <f t="array" ref="P11">SQRT(SUMPRODUCT(--($L$6:$L$300&lt;&gt;1),--($C$6:$C$300=$C11),$E$6:$E$300,$O$6:$O$300)/((N11-1)*SUMPRODUCT(--($L$6:$L$300&lt;&gt;1),--($C$6:$C$300=$C11),$E$6:$E$300)/N11))</f>
        <v>107.19886533193221</v>
      </c>
      <c r="Q11" s="2">
        <f t="shared" si="3"/>
        <v>365.4164047367683</v>
      </c>
      <c r="R11" s="2">
        <f t="shared" si="3"/>
        <v>640.17815211825337</v>
      </c>
      <c r="S11" s="2">
        <f t="shared" si="7"/>
        <v>507.90384681874968</v>
      </c>
    </row>
    <row r="12" spans="2:19" x14ac:dyDescent="0.35">
      <c r="B12">
        <v>6</v>
      </c>
      <c r="C12" s="17">
        <v>2</v>
      </c>
      <c r="D12" s="22" t="s">
        <v>36</v>
      </c>
      <c r="E12" s="90">
        <f>INDEX('Revised 2019 Lockdown'!H$5:H$257,MATCH(B12,'Revised 2019 Lockdown'!B$5:B$257,0))</f>
        <v>41206.969999999987</v>
      </c>
      <c r="F12" s="7">
        <f>INDEX('Revised 2019 Lockdown'!E$5:E$257,MATCH(B12,'Revised 2019 Lockdown'!B$5:B$257,0))</f>
        <v>19734526.949999999</v>
      </c>
      <c r="G12" s="7">
        <f>INDEX('Revised 2019 Lockdown'!F$5:F$257,MATCH(B12,'Revised 2019 Lockdown'!B$5:B$257,0))</f>
        <v>3742083.3</v>
      </c>
      <c r="H12" s="7">
        <f t="shared" si="4"/>
        <v>15992443.649999999</v>
      </c>
      <c r="I12" s="6">
        <f t="shared" si="0"/>
        <v>388.10045121007448</v>
      </c>
      <c r="J12" s="6">
        <f t="shared" si="5"/>
        <v>388.10045121007448</v>
      </c>
      <c r="K12" s="5">
        <f t="shared" si="1"/>
        <v>15992443.649999999</v>
      </c>
      <c r="L12" s="4">
        <f t="shared" si="2"/>
        <v>0</v>
      </c>
      <c r="M12" s="2" cm="1">
        <f t="array" ref="M12">SUMPRODUCT(--($L$6:$L$300&lt;&gt;1),--($C$6:$C$300=$C12),$H$6:$H$300)/SUMPRODUCT(--($L$6:$L$300&lt;&gt;1),--($C$6:$C$300=$C12),$E$6:$E$300)</f>
        <v>315.77459016695877</v>
      </c>
      <c r="N12" s="1" cm="1">
        <f t="array" ref="N12">SUMPRODUCT(--($L$6:$L$300&lt;&gt;1),--($C$6:$C$300=$C12))</f>
        <v>6</v>
      </c>
      <c r="O12" s="3">
        <f t="shared" si="6"/>
        <v>5231.0301756280824</v>
      </c>
      <c r="P12" s="2" cm="1">
        <f t="array" ref="P12">SQRT(SUMPRODUCT(--($L$6:$L$300&lt;&gt;1),--($C$6:$C$300=$C12),$E$6:$E$300,$O$6:$O$300)/((N12-1)*SUMPRODUCT(--($L$6:$L$300&lt;&gt;1),--($C$6:$C$300=$C12),$E$6:$E$300)/N12))</f>
        <v>106.96398308339705</v>
      </c>
      <c r="Q12" s="2">
        <f t="shared" si="3"/>
        <v>178.69473018954511</v>
      </c>
      <c r="R12" s="2">
        <f t="shared" si="3"/>
        <v>452.85445014437244</v>
      </c>
      <c r="S12" s="2">
        <f t="shared" si="7"/>
        <v>388.10045121007448</v>
      </c>
    </row>
    <row r="13" spans="2:19" x14ac:dyDescent="0.35">
      <c r="B13">
        <v>18</v>
      </c>
      <c r="C13" s="17">
        <v>2</v>
      </c>
      <c r="D13" s="22" t="s">
        <v>37</v>
      </c>
      <c r="E13" s="90">
        <f>INDEX('Revised 2019 Lockdown'!H$5:H$257,MATCH(B13,'Revised 2019 Lockdown'!B$5:B$257,0))</f>
        <v>19941.120000000003</v>
      </c>
      <c r="F13" s="7">
        <f>INDEX('Revised 2019 Lockdown'!E$5:E$257,MATCH(B13,'Revised 2019 Lockdown'!B$5:B$257,0))</f>
        <v>8785791</v>
      </c>
      <c r="G13" s="7">
        <f>INDEX('Revised 2019 Lockdown'!F$5:F$257,MATCH(B13,'Revised 2019 Lockdown'!B$5:B$257,0))</f>
        <v>2133782.4900000002</v>
      </c>
      <c r="H13" s="7">
        <f t="shared" si="4"/>
        <v>6652008.5099999998</v>
      </c>
      <c r="I13" s="6">
        <f t="shared" si="0"/>
        <v>333.58249235750043</v>
      </c>
      <c r="J13" s="6">
        <f t="shared" si="5"/>
        <v>333.58249235750043</v>
      </c>
      <c r="K13" s="5">
        <f t="shared" si="1"/>
        <v>6652008.5099999998</v>
      </c>
      <c r="L13" s="4">
        <f t="shared" si="2"/>
        <v>0</v>
      </c>
      <c r="M13" s="2" cm="1">
        <f t="array" ref="M13">SUMPRODUCT(--($L$6:$L$300&lt;&gt;1),--($C$6:$C$300=$C13),$H$6:$H$300)/SUMPRODUCT(--($L$6:$L$300&lt;&gt;1),--($C$6:$C$300=$C13),$E$6:$E$300)</f>
        <v>315.77459016695877</v>
      </c>
      <c r="N13" s="1" cm="1">
        <f t="array" ref="N13">SUMPRODUCT(--($L$6:$L$300&lt;&gt;1),--($C$6:$C$300=$C13))</f>
        <v>6</v>
      </c>
      <c r="O13" s="3">
        <f t="shared" si="6"/>
        <v>317.12138042789826</v>
      </c>
      <c r="P13" s="2" cm="1">
        <f t="array" ref="P13">SQRT(SUMPRODUCT(--($L$6:$L$300&lt;&gt;1),--($C$6:$C$300=$C13),$E$6:$E$300,$O$6:$O$300)/((N13-1)*SUMPRODUCT(--($L$6:$L$300&lt;&gt;1),--($C$6:$C$300=$C13),$E$6:$E$300)/N13))</f>
        <v>106.96398308339705</v>
      </c>
      <c r="Q13" s="2">
        <f t="shared" si="3"/>
        <v>178.69473018954511</v>
      </c>
      <c r="R13" s="2">
        <f t="shared" si="3"/>
        <v>452.85445014437244</v>
      </c>
      <c r="S13" s="2">
        <f t="shared" si="7"/>
        <v>333.58249235750043</v>
      </c>
    </row>
    <row r="14" spans="2:19" x14ac:dyDescent="0.35">
      <c r="B14">
        <v>53</v>
      </c>
      <c r="C14" s="17">
        <v>2</v>
      </c>
      <c r="D14" s="22" t="s">
        <v>38</v>
      </c>
      <c r="E14" s="90">
        <f>INDEX('Revised 2019 Lockdown'!H$5:H$257,MATCH(B14,'Revised 2019 Lockdown'!B$5:B$257,0))</f>
        <v>34960.206400000003</v>
      </c>
      <c r="F14" s="7">
        <f>INDEX('Revised 2019 Lockdown'!E$5:E$257,MATCH(B14,'Revised 2019 Lockdown'!B$5:B$257,0))</f>
        <v>10395927.890000001</v>
      </c>
      <c r="G14" s="7">
        <f>INDEX('Revised 2019 Lockdown'!F$5:F$257,MATCH(B14,'Revised 2019 Lockdown'!B$5:B$257,0))</f>
        <v>2947532.46</v>
      </c>
      <c r="H14" s="7">
        <f t="shared" si="4"/>
        <v>7448395.4300000006</v>
      </c>
      <c r="I14" s="6">
        <f t="shared" si="0"/>
        <v>213.05353134299574</v>
      </c>
      <c r="J14" s="6">
        <f t="shared" si="5"/>
        <v>213.05353134299574</v>
      </c>
      <c r="K14" s="5">
        <f t="shared" si="1"/>
        <v>7448395.4300000006</v>
      </c>
      <c r="L14" s="4">
        <f t="shared" si="2"/>
        <v>0</v>
      </c>
      <c r="M14" s="2" cm="1">
        <f t="array" ref="M14">SUMPRODUCT(--($L$6:$L$300&lt;&gt;1),--($C$6:$C$300=$C14),$H$6:$H$300)/SUMPRODUCT(--($L$6:$L$300&lt;&gt;1),--($C$6:$C$300=$C14),$E$6:$E$300)</f>
        <v>315.77459016695877</v>
      </c>
      <c r="N14" s="1" cm="1">
        <f t="array" ref="N14">SUMPRODUCT(--($L$6:$L$300&lt;&gt;1),--($C$6:$C$300=$C14))</f>
        <v>6</v>
      </c>
      <c r="O14" s="3">
        <f t="shared" si="6"/>
        <v>10551.615925916074</v>
      </c>
      <c r="P14" s="2" cm="1">
        <f t="array" ref="P14">SQRT(SUMPRODUCT(--($L$6:$L$300&lt;&gt;1),--($C$6:$C$300=$C14),$E$6:$E$300,$O$6:$O$300)/((N14-1)*SUMPRODUCT(--($L$6:$L$300&lt;&gt;1),--($C$6:$C$300=$C14),$E$6:$E$300)/N14))</f>
        <v>106.96398308339705</v>
      </c>
      <c r="Q14" s="2">
        <f t="shared" si="3"/>
        <v>178.69473018954511</v>
      </c>
      <c r="R14" s="2">
        <f t="shared" si="3"/>
        <v>452.85445014437244</v>
      </c>
      <c r="S14" s="2">
        <f t="shared" si="7"/>
        <v>213.05353134299574</v>
      </c>
    </row>
    <row r="15" spans="2:19" x14ac:dyDescent="0.35">
      <c r="B15">
        <v>335</v>
      </c>
      <c r="C15" s="17">
        <v>2</v>
      </c>
      <c r="D15" s="22" t="s">
        <v>39</v>
      </c>
      <c r="E15" s="90">
        <f>INDEX('Revised 2019 Lockdown'!H$5:H$257,MATCH(B15,'Revised 2019 Lockdown'!B$5:B$257,0))</f>
        <v>25689.83</v>
      </c>
      <c r="F15" s="7">
        <f>INDEX('Revised 2019 Lockdown'!E$5:E$257,MATCH(B15,'Revised 2019 Lockdown'!B$5:B$257,0))</f>
        <v>15371539.85</v>
      </c>
      <c r="G15" s="7">
        <f>INDEX('Revised 2019 Lockdown'!F$5:F$257,MATCH(B15,'Revised 2019 Lockdown'!B$5:B$257,0))</f>
        <v>1961363.18</v>
      </c>
      <c r="H15" s="7">
        <f t="shared" si="4"/>
        <v>13410176.67</v>
      </c>
      <c r="I15" s="6">
        <f t="shared" si="0"/>
        <v>522.00332466193822</v>
      </c>
      <c r="J15" s="6">
        <f t="shared" si="5"/>
        <v>452.85445014437244</v>
      </c>
      <c r="K15" s="5">
        <f t="shared" si="1"/>
        <v>11633753.838952404</v>
      </c>
      <c r="L15" s="4">
        <f t="shared" si="2"/>
        <v>0</v>
      </c>
      <c r="M15" s="2" cm="1">
        <f t="array" ref="M15">SUMPRODUCT(--($L$6:$L$300&lt;&gt;1),--($C$6:$C$300=$C15),$H$6:$H$300)/SUMPRODUCT(--($L$6:$L$300&lt;&gt;1),--($C$6:$C$300=$C15),$E$6:$E$300)</f>
        <v>315.77459016695877</v>
      </c>
      <c r="N15" s="1" cm="1">
        <f t="array" ref="N15">SUMPRODUCT(--($L$6:$L$300&lt;&gt;1),--($C$6:$C$300=$C15))</f>
        <v>6</v>
      </c>
      <c r="O15" s="3">
        <f t="shared" si="6"/>
        <v>42530.290931400727</v>
      </c>
      <c r="P15" s="2" cm="1">
        <f t="array" ref="P15">SQRT(SUMPRODUCT(--($L$6:$L$300&lt;&gt;1),--($C$6:$C$300=$C15),$E$6:$E$300,$O$6:$O$300)/((N15-1)*SUMPRODUCT(--($L$6:$L$300&lt;&gt;1),--($C$6:$C$300=$C15),$E$6:$E$300)/N15))</f>
        <v>106.96398308339705</v>
      </c>
      <c r="Q15" s="2">
        <f t="shared" si="3"/>
        <v>178.69473018954511</v>
      </c>
      <c r="R15" s="2">
        <f t="shared" si="3"/>
        <v>452.85445014437244</v>
      </c>
      <c r="S15" s="2">
        <f t="shared" si="7"/>
        <v>452.85445014437244</v>
      </c>
    </row>
    <row r="16" spans="2:19" x14ac:dyDescent="0.35">
      <c r="B16">
        <v>357</v>
      </c>
      <c r="C16" s="17">
        <v>2</v>
      </c>
      <c r="D16" s="22" t="s">
        <v>40</v>
      </c>
      <c r="E16" s="90">
        <f>INDEX('Revised 2019 Lockdown'!H$5:H$257,MATCH(B16,'Revised 2019 Lockdown'!B$5:B$257,0))</f>
        <v>34912.030000000006</v>
      </c>
      <c r="F16" s="7">
        <f>INDEX('Revised 2019 Lockdown'!E$5:E$257,MATCH(B16,'Revised 2019 Lockdown'!B$5:B$257,0))</f>
        <v>13658152.119999999</v>
      </c>
      <c r="G16" s="7">
        <f>INDEX('Revised 2019 Lockdown'!F$5:F$257,MATCH(B16,'Revised 2019 Lockdown'!B$5:B$257,0))</f>
        <v>3498711.4300000006</v>
      </c>
      <c r="H16" s="7">
        <f t="shared" si="4"/>
        <v>10159440.689999998</v>
      </c>
      <c r="I16" s="6">
        <f t="shared" si="0"/>
        <v>291.00114459113365</v>
      </c>
      <c r="J16" s="6">
        <f t="shared" si="5"/>
        <v>291.00114459113365</v>
      </c>
      <c r="K16" s="5">
        <f t="shared" si="1"/>
        <v>10159440.689999998</v>
      </c>
      <c r="L16" s="4">
        <f t="shared" si="2"/>
        <v>0</v>
      </c>
      <c r="M16" s="2" cm="1">
        <f t="array" ref="M16">SUMPRODUCT(--($L$6:$L$300&lt;&gt;1),--($C$6:$C$300=$C16),$H$6:$H$300)/SUMPRODUCT(--($L$6:$L$300&lt;&gt;1),--($C$6:$C$300=$C16),$E$6:$E$300)</f>
        <v>315.77459016695877</v>
      </c>
      <c r="N16" s="1" cm="1">
        <f t="array" ref="N16">SUMPRODUCT(--($L$6:$L$300&lt;&gt;1),--($C$6:$C$300=$C16))</f>
        <v>6</v>
      </c>
      <c r="O16" s="3">
        <f t="shared" si="6"/>
        <v>613.72360569836928</v>
      </c>
      <c r="P16" s="2" cm="1">
        <f t="array" ref="P16">SQRT(SUMPRODUCT(--($L$6:$L$300&lt;&gt;1),--($C$6:$C$300=$C16),$E$6:$E$300,$O$6:$O$300)/((N16-1)*SUMPRODUCT(--($L$6:$L$300&lt;&gt;1),--($C$6:$C$300=$C16),$E$6:$E$300)/N16))</f>
        <v>106.96398308339705</v>
      </c>
      <c r="Q16" s="2">
        <f t="shared" si="3"/>
        <v>178.69473018954511</v>
      </c>
      <c r="R16" s="2">
        <f t="shared" si="3"/>
        <v>452.85445014437244</v>
      </c>
      <c r="S16" s="2">
        <f t="shared" si="7"/>
        <v>291.00114459113365</v>
      </c>
    </row>
    <row r="17" spans="2:19" x14ac:dyDescent="0.35">
      <c r="B17">
        <v>441</v>
      </c>
      <c r="C17" s="17">
        <v>2</v>
      </c>
      <c r="D17" s="22" t="s">
        <v>41</v>
      </c>
      <c r="E17" s="90">
        <f>INDEX('Revised 2019 Lockdown'!H$5:H$257,MATCH(B17,'Revised 2019 Lockdown'!B$5:B$257,0))</f>
        <v>55231.539999999986</v>
      </c>
      <c r="F17" s="7">
        <f>INDEX('Revised 2019 Lockdown'!E$5:E$257,MATCH(B17,'Revised 2019 Lockdown'!B$5:B$257,0))</f>
        <v>19919415.420000002</v>
      </c>
      <c r="G17" s="7">
        <f>INDEX('Revised 2019 Lockdown'!F$5:F$257,MATCH(B17,'Revised 2019 Lockdown'!B$5:B$257,0))</f>
        <v>6656078.0499999989</v>
      </c>
      <c r="H17" s="7">
        <f t="shared" si="4"/>
        <v>13263337.370000003</v>
      </c>
      <c r="I17" s="6">
        <f t="shared" si="0"/>
        <v>240.14064011251554</v>
      </c>
      <c r="J17" s="6">
        <f t="shared" si="5"/>
        <v>240.14064011251554</v>
      </c>
      <c r="K17" s="5">
        <f t="shared" si="1"/>
        <v>13263337.370000003</v>
      </c>
      <c r="L17" s="4">
        <f t="shared" si="2"/>
        <v>0</v>
      </c>
      <c r="M17" s="2" cm="1">
        <f t="array" ref="M17">SUMPRODUCT(--($L$6:$L$300&lt;&gt;1),--($C$6:$C$300=$C17),$H$6:$H$300)/SUMPRODUCT(--($L$6:$L$300&lt;&gt;1),--($C$6:$C$300=$C17),$E$6:$E$300)</f>
        <v>315.77459016695877</v>
      </c>
      <c r="N17" s="1" cm="1">
        <f t="array" ref="N17">SUMPRODUCT(--($L$6:$L$300&lt;&gt;1),--($C$6:$C$300=$C17))</f>
        <v>6</v>
      </c>
      <c r="O17" s="3">
        <f t="shared" si="6"/>
        <v>5720.4944008380135</v>
      </c>
      <c r="P17" s="2" cm="1">
        <f t="array" ref="P17">SQRT(SUMPRODUCT(--($L$6:$L$300&lt;&gt;1),--($C$6:$C$300=$C17),$E$6:$E$300,$O$6:$O$300)/((N17-1)*SUMPRODUCT(--($L$6:$L$300&lt;&gt;1),--($C$6:$C$300=$C17),$E$6:$E$300)/N17))</f>
        <v>106.96398308339705</v>
      </c>
      <c r="Q17" s="2">
        <f t="shared" si="3"/>
        <v>178.69473018954511</v>
      </c>
      <c r="R17" s="2">
        <f t="shared" si="3"/>
        <v>452.85445014437244</v>
      </c>
      <c r="S17" s="2">
        <f t="shared" si="7"/>
        <v>240.14064011251554</v>
      </c>
    </row>
    <row r="18" spans="2:19" x14ac:dyDescent="0.35">
      <c r="B18">
        <v>14</v>
      </c>
      <c r="C18" s="17">
        <v>3</v>
      </c>
      <c r="D18" s="22" t="s">
        <v>42</v>
      </c>
      <c r="E18" s="90">
        <f>INDEX('Revised 2019 Lockdown'!H$5:H$257,MATCH(B18,'Revised 2019 Lockdown'!B$5:B$257,0))</f>
        <v>11108.29</v>
      </c>
      <c r="F18" s="7">
        <f>INDEX('Revised 2019 Lockdown'!E$5:E$257,MATCH(B18,'Revised 2019 Lockdown'!B$5:B$257,0))</f>
        <v>2696626.28</v>
      </c>
      <c r="G18" s="7">
        <f>INDEX('Revised 2019 Lockdown'!F$5:F$257,MATCH(B18,'Revised 2019 Lockdown'!B$5:B$257,0))</f>
        <v>129351.95</v>
      </c>
      <c r="H18" s="7">
        <f t="shared" si="4"/>
        <v>2567274.3299999996</v>
      </c>
      <c r="I18" s="6">
        <f t="shared" si="0"/>
        <v>231.11336938448667</v>
      </c>
      <c r="J18" s="6">
        <f t="shared" si="5"/>
        <v>231.11336938448667</v>
      </c>
      <c r="K18" s="5">
        <f t="shared" si="1"/>
        <v>2567274.3299999996</v>
      </c>
      <c r="L18" s="4">
        <f t="shared" si="2"/>
        <v>0</v>
      </c>
      <c r="M18" s="2" cm="1">
        <f t="array" ref="M18">SUMPRODUCT(--($L$6:$L$300&lt;&gt;1),--($C$6:$C$300=$C18),$H$6:$H$300)/SUMPRODUCT(--($L$6:$L$300&lt;&gt;1),--($C$6:$C$300=$C18),$E$6:$E$300)</f>
        <v>423.21962221333717</v>
      </c>
      <c r="N18" s="1" cm="1">
        <f t="array" ref="N18">SUMPRODUCT(--($L$6:$L$300&lt;&gt;1),--($C$6:$C$300=$C18))</f>
        <v>7</v>
      </c>
      <c r="O18" s="3">
        <f t="shared" si="6"/>
        <v>36904.812375942231</v>
      </c>
      <c r="P18" s="2" cm="1">
        <f t="array" ref="P18">SQRT(SUMPRODUCT(--($L$6:$L$300&lt;&gt;1),--($C$6:$C$300=$C18),$E$6:$E$300,$O$6:$O$300)/((N18-1)*SUMPRODUCT(--($L$6:$L$300&lt;&gt;1),--($C$6:$C$300=$C18),$E$6:$E$300)/N18))</f>
        <v>284.7045452913319</v>
      </c>
      <c r="Q18" s="2">
        <f t="shared" si="3"/>
        <v>58.35606647756714</v>
      </c>
      <c r="R18" s="2">
        <f t="shared" si="3"/>
        <v>788.08317794910727</v>
      </c>
      <c r="S18" s="2">
        <f t="shared" si="7"/>
        <v>231.11336938448667</v>
      </c>
    </row>
    <row r="19" spans="2:19" x14ac:dyDescent="0.35">
      <c r="B19">
        <v>36</v>
      </c>
      <c r="C19" s="17">
        <v>3</v>
      </c>
      <c r="D19" s="22" t="s">
        <v>43</v>
      </c>
      <c r="E19" s="90">
        <f>INDEX('Revised 2019 Lockdown'!H$5:H$257,MATCH(B19,'Revised 2019 Lockdown'!B$5:B$257,0))</f>
        <v>5586.73</v>
      </c>
      <c r="F19" s="7">
        <f>INDEX('Revised 2019 Lockdown'!E$5:E$257,MATCH(B19,'Revised 2019 Lockdown'!B$5:B$257,0))</f>
        <v>6566433.6200000001</v>
      </c>
      <c r="G19" s="7">
        <f>INDEX('Revised 2019 Lockdown'!F$5:F$257,MATCH(B19,'Revised 2019 Lockdown'!B$5:B$257,0))</f>
        <v>622957</v>
      </c>
      <c r="H19" s="7">
        <f t="shared" si="4"/>
        <v>5943476.6200000001</v>
      </c>
      <c r="I19" s="6">
        <f t="shared" si="0"/>
        <v>1063.8560696507618</v>
      </c>
      <c r="J19" s="6">
        <f t="shared" si="5"/>
        <v>788.08317794910727</v>
      </c>
      <c r="K19" s="5">
        <f t="shared" si="1"/>
        <v>4402807.9327436155</v>
      </c>
      <c r="L19" s="4">
        <f t="shared" si="2"/>
        <v>0</v>
      </c>
      <c r="M19" s="2" cm="1">
        <f t="array" ref="M19">SUMPRODUCT(--($L$6:$L$300&lt;&gt;1),--($C$6:$C$300=$C19),$H$6:$H$300)/SUMPRODUCT(--($L$6:$L$300&lt;&gt;1),--($C$6:$C$300=$C19),$E$6:$E$300)</f>
        <v>423.21962221333717</v>
      </c>
      <c r="N19" s="1" cm="1">
        <f t="array" ref="N19">SUMPRODUCT(--($L$6:$L$300&lt;&gt;1),--($C$6:$C$300=$C19))</f>
        <v>7</v>
      </c>
      <c r="O19" s="3">
        <f t="shared" si="6"/>
        <v>410415.05778524413</v>
      </c>
      <c r="P19" s="2" cm="1">
        <f t="array" ref="P19">SQRT(SUMPRODUCT(--($L$6:$L$300&lt;&gt;1),--($C$6:$C$300=$C19),$E$6:$E$300,$O$6:$O$300)/((N19-1)*SUMPRODUCT(--($L$6:$L$300&lt;&gt;1),--($C$6:$C$300=$C19),$E$6:$E$300)/N19))</f>
        <v>284.7045452913319</v>
      </c>
      <c r="Q19" s="2">
        <f t="shared" si="3"/>
        <v>58.35606647756714</v>
      </c>
      <c r="R19" s="2">
        <f t="shared" si="3"/>
        <v>788.08317794910727</v>
      </c>
      <c r="S19" s="2">
        <f t="shared" si="7"/>
        <v>788.08317794910727</v>
      </c>
    </row>
    <row r="20" spans="2:19" x14ac:dyDescent="0.35">
      <c r="B20">
        <v>55</v>
      </c>
      <c r="C20" s="17">
        <v>3</v>
      </c>
      <c r="D20" s="22" t="s">
        <v>44</v>
      </c>
      <c r="E20" s="90">
        <f>INDEX('Revised 2019 Lockdown'!H$5:H$257,MATCH(B20,'Revised 2019 Lockdown'!B$5:B$257,0))</f>
        <v>3486.1699999999992</v>
      </c>
      <c r="F20" s="7">
        <f>INDEX('Revised 2019 Lockdown'!E$5:E$257,MATCH(B20,'Revised 2019 Lockdown'!B$5:B$257,0))</f>
        <v>1496659.65</v>
      </c>
      <c r="G20" s="7">
        <f>INDEX('Revised 2019 Lockdown'!F$5:F$257,MATCH(B20,'Revised 2019 Lockdown'!B$5:B$257,0))</f>
        <v>60217.409999999996</v>
      </c>
      <c r="H20" s="7">
        <f t="shared" si="4"/>
        <v>1436442.24</v>
      </c>
      <c r="I20" s="6">
        <f t="shared" si="0"/>
        <v>412.04021605372094</v>
      </c>
      <c r="J20" s="6">
        <f t="shared" si="5"/>
        <v>412.04021605372094</v>
      </c>
      <c r="K20" s="5">
        <f t="shared" si="1"/>
        <v>1436442.24</v>
      </c>
      <c r="L20" s="4">
        <f t="shared" si="2"/>
        <v>0</v>
      </c>
      <c r="M20" s="2" cm="1">
        <f t="array" ref="M20">SUMPRODUCT(--($L$6:$L$300&lt;&gt;1),--($C$6:$C$300=$C20),$H$6:$H$300)/SUMPRODUCT(--($L$6:$L$300&lt;&gt;1),--($C$6:$C$300=$C20),$E$6:$E$300)</f>
        <v>423.21962221333717</v>
      </c>
      <c r="N20" s="1" cm="1">
        <f t="array" ref="N20">SUMPRODUCT(--($L$6:$L$300&lt;&gt;1),--($C$6:$C$300=$C20))</f>
        <v>7</v>
      </c>
      <c r="O20" s="3">
        <f t="shared" si="6"/>
        <v>124.97912208166542</v>
      </c>
      <c r="P20" s="2" cm="1">
        <f t="array" ref="P20">SQRT(SUMPRODUCT(--($L$6:$L$300&lt;&gt;1),--($C$6:$C$300=$C20),$E$6:$E$300,$O$6:$O$300)/((N20-1)*SUMPRODUCT(--($L$6:$L$300&lt;&gt;1),--($C$6:$C$300=$C20),$E$6:$E$300)/N20))</f>
        <v>284.7045452913319</v>
      </c>
      <c r="Q20" s="2">
        <f t="shared" si="3"/>
        <v>58.35606647756714</v>
      </c>
      <c r="R20" s="2">
        <f t="shared" si="3"/>
        <v>788.08317794910727</v>
      </c>
      <c r="S20" s="2">
        <f t="shared" si="7"/>
        <v>412.04021605372094</v>
      </c>
    </row>
    <row r="21" spans="2:19" x14ac:dyDescent="0.35">
      <c r="B21">
        <v>103</v>
      </c>
      <c r="C21" s="17">
        <v>3</v>
      </c>
      <c r="D21" s="22" t="s">
        <v>45</v>
      </c>
      <c r="E21" s="90">
        <f>INDEX('Revised 2019 Lockdown'!H$5:H$257,MATCH(B21,'Revised 2019 Lockdown'!B$5:B$257,0))</f>
        <v>4157.59</v>
      </c>
      <c r="F21" s="7">
        <f>INDEX('Revised 2019 Lockdown'!E$5:E$257,MATCH(B21,'Revised 2019 Lockdown'!B$5:B$257,0))</f>
        <v>1753178.73</v>
      </c>
      <c r="G21" s="7">
        <f>INDEX('Revised 2019 Lockdown'!F$5:F$257,MATCH(B21,'Revised 2019 Lockdown'!B$5:B$257,0))</f>
        <v>368978.78</v>
      </c>
      <c r="H21" s="7">
        <f t="shared" si="4"/>
        <v>1384199.95</v>
      </c>
      <c r="I21" s="6">
        <f t="shared" si="0"/>
        <v>332.93324979134542</v>
      </c>
      <c r="J21" s="6">
        <f t="shared" si="5"/>
        <v>332.93324979134542</v>
      </c>
      <c r="K21" s="5">
        <f t="shared" si="1"/>
        <v>1384199.95</v>
      </c>
      <c r="L21" s="4">
        <f t="shared" si="2"/>
        <v>0</v>
      </c>
      <c r="M21" s="2" cm="1">
        <f t="array" ref="M21">SUMPRODUCT(--($L$6:$L$300&lt;&gt;1),--($C$6:$C$300=$C21),$H$6:$H$300)/SUMPRODUCT(--($L$6:$L$300&lt;&gt;1),--($C$6:$C$300=$C21),$E$6:$E$300)</f>
        <v>423.21962221333717</v>
      </c>
      <c r="N21" s="1" cm="1">
        <f t="array" ref="N21">SUMPRODUCT(--($L$6:$L$300&lt;&gt;1),--($C$6:$C$300=$C21))</f>
        <v>7</v>
      </c>
      <c r="O21" s="3">
        <f t="shared" si="6"/>
        <v>8151.6290451225941</v>
      </c>
      <c r="P21" s="2" cm="1">
        <f t="array" ref="P21">SQRT(SUMPRODUCT(--($L$6:$L$300&lt;&gt;1),--($C$6:$C$300=$C21),$E$6:$E$300,$O$6:$O$300)/((N21-1)*SUMPRODUCT(--($L$6:$L$300&lt;&gt;1),--($C$6:$C$300=$C21),$E$6:$E$300)/N21))</f>
        <v>284.7045452913319</v>
      </c>
      <c r="Q21" s="2">
        <f t="shared" si="3"/>
        <v>58.35606647756714</v>
      </c>
      <c r="R21" s="2">
        <f t="shared" si="3"/>
        <v>788.08317794910727</v>
      </c>
      <c r="S21" s="2">
        <f t="shared" si="7"/>
        <v>332.93324979134542</v>
      </c>
    </row>
    <row r="22" spans="2:19" x14ac:dyDescent="0.35">
      <c r="B22">
        <v>123</v>
      </c>
      <c r="C22" s="17">
        <v>3</v>
      </c>
      <c r="D22" s="22" t="s">
        <v>46</v>
      </c>
      <c r="E22" s="90">
        <f>INDEX('Revised 2019 Lockdown'!H$5:H$257,MATCH(B22,'Revised 2019 Lockdown'!B$5:B$257,0))</f>
        <v>6660.2900000000009</v>
      </c>
      <c r="F22" s="7">
        <f>INDEX('Revised 2019 Lockdown'!E$5:E$257,MATCH(B22,'Revised 2019 Lockdown'!B$5:B$257,0))</f>
        <v>2566779.13</v>
      </c>
      <c r="G22" s="7">
        <f>INDEX('Revised 2019 Lockdown'!F$5:F$257,MATCH(B22,'Revised 2019 Lockdown'!B$5:B$257,0))</f>
        <v>0</v>
      </c>
      <c r="H22" s="7">
        <f t="shared" si="4"/>
        <v>2566779.13</v>
      </c>
      <c r="I22" s="6">
        <f t="shared" si="0"/>
        <v>385.38549072187539</v>
      </c>
      <c r="J22" s="6">
        <f t="shared" si="5"/>
        <v>385.38549072187539</v>
      </c>
      <c r="K22" s="5">
        <f t="shared" si="1"/>
        <v>2566779.13</v>
      </c>
      <c r="L22" s="4">
        <f t="shared" si="2"/>
        <v>0</v>
      </c>
      <c r="M22" s="2" cm="1">
        <f t="array" ref="M22">SUMPRODUCT(--($L$6:$L$300&lt;&gt;1),--($C$6:$C$300=$C22),$H$6:$H$300)/SUMPRODUCT(--($L$6:$L$300&lt;&gt;1),--($C$6:$C$300=$C22),$E$6:$E$300)</f>
        <v>423.21962221333717</v>
      </c>
      <c r="N22" s="1" cm="1">
        <f t="array" ref="N22">SUMPRODUCT(--($L$6:$L$300&lt;&gt;1),--($C$6:$C$300=$C22))</f>
        <v>7</v>
      </c>
      <c r="O22" s="3">
        <f t="shared" si="6"/>
        <v>1431.4215057132208</v>
      </c>
      <c r="P22" s="2" cm="1">
        <f t="array" ref="P22">SQRT(SUMPRODUCT(--($L$6:$L$300&lt;&gt;1),--($C$6:$C$300=$C22),$E$6:$E$300,$O$6:$O$300)/((N22-1)*SUMPRODUCT(--($L$6:$L$300&lt;&gt;1),--($C$6:$C$300=$C22),$E$6:$E$300)/N22))</f>
        <v>284.7045452913319</v>
      </c>
      <c r="Q22" s="2">
        <f t="shared" si="3"/>
        <v>58.35606647756714</v>
      </c>
      <c r="R22" s="2">
        <f t="shared" si="3"/>
        <v>788.08317794910727</v>
      </c>
      <c r="S22" s="2">
        <f t="shared" si="7"/>
        <v>385.38549072187539</v>
      </c>
    </row>
    <row r="23" spans="2:19" x14ac:dyDescent="0.35">
      <c r="B23">
        <v>179</v>
      </c>
      <c r="C23" s="17">
        <v>3</v>
      </c>
      <c r="D23" s="22" t="s">
        <v>47</v>
      </c>
      <c r="E23" s="90">
        <f>INDEX('Revised 2019 Lockdown'!H$5:H$257,MATCH(B23,'Revised 2019 Lockdown'!B$5:B$257,0))</f>
        <v>4763.5400000000009</v>
      </c>
      <c r="F23" s="7">
        <f>INDEX('Revised 2019 Lockdown'!E$5:E$257,MATCH(B23,'Revised 2019 Lockdown'!B$5:B$257,0))</f>
        <v>2969506.46</v>
      </c>
      <c r="G23" s="7">
        <f>INDEX('Revised 2019 Lockdown'!F$5:F$257,MATCH(B23,'Revised 2019 Lockdown'!B$5:B$257,0))</f>
        <v>514954.06</v>
      </c>
      <c r="H23" s="7">
        <f t="shared" si="4"/>
        <v>2454552.4</v>
      </c>
      <c r="I23" s="6">
        <f t="shared" si="0"/>
        <v>515.27905717176714</v>
      </c>
      <c r="J23" s="6">
        <f t="shared" si="5"/>
        <v>515.27905717176714</v>
      </c>
      <c r="K23" s="5">
        <f t="shared" si="1"/>
        <v>2454552.4</v>
      </c>
      <c r="L23" s="4">
        <f t="shared" si="2"/>
        <v>0</v>
      </c>
      <c r="M23" s="2" cm="1">
        <f t="array" ref="M23">SUMPRODUCT(--($L$6:$L$300&lt;&gt;1),--($C$6:$C$300=$C23),$H$6:$H$300)/SUMPRODUCT(--($L$6:$L$300&lt;&gt;1),--($C$6:$C$300=$C23),$E$6:$E$300)</f>
        <v>423.21962221333717</v>
      </c>
      <c r="N23" s="1" cm="1">
        <f t="array" ref="N23">SUMPRODUCT(--($L$6:$L$300&lt;&gt;1),--($C$6:$C$300=$C23))</f>
        <v>7</v>
      </c>
      <c r="O23" s="3">
        <f t="shared" si="6"/>
        <v>8474.9395648653972</v>
      </c>
      <c r="P23" s="2" cm="1">
        <f t="array" ref="P23">SQRT(SUMPRODUCT(--($L$6:$L$300&lt;&gt;1),--($C$6:$C$300=$C23),$E$6:$E$300,$O$6:$O$300)/((N23-1)*SUMPRODUCT(--($L$6:$L$300&lt;&gt;1),--($C$6:$C$300=$C23),$E$6:$E$300)/N23))</f>
        <v>284.7045452913319</v>
      </c>
      <c r="Q23" s="2">
        <f t="shared" si="3"/>
        <v>58.35606647756714</v>
      </c>
      <c r="R23" s="2">
        <f t="shared" si="3"/>
        <v>788.08317794910727</v>
      </c>
      <c r="S23" s="2">
        <f t="shared" si="7"/>
        <v>515.27905717176714</v>
      </c>
    </row>
    <row r="24" spans="2:19" x14ac:dyDescent="0.35">
      <c r="B24">
        <v>293</v>
      </c>
      <c r="C24" s="17">
        <v>3</v>
      </c>
      <c r="D24" s="22" t="s">
        <v>48</v>
      </c>
      <c r="E24" s="90">
        <f>INDEX('Revised 2019 Lockdown'!H$5:H$257,MATCH(B24,'Revised 2019 Lockdown'!B$5:B$257,0))</f>
        <v>7281.260000000002</v>
      </c>
      <c r="F24" s="7">
        <f>INDEX('Revised 2019 Lockdown'!E$5:E$257,MATCH(B24,'Revised 2019 Lockdown'!B$5:B$257,0))</f>
        <v>2668555.6</v>
      </c>
      <c r="G24" s="7">
        <f>INDEX('Revised 2019 Lockdown'!F$5:F$257,MATCH(B24,'Revised 2019 Lockdown'!B$5:B$257,0))</f>
        <v>804269.87</v>
      </c>
      <c r="H24" s="7">
        <f t="shared" si="4"/>
        <v>1864285.73</v>
      </c>
      <c r="I24" s="6">
        <f t="shared" si="0"/>
        <v>256.0388902470176</v>
      </c>
      <c r="J24" s="6">
        <f t="shared" si="5"/>
        <v>256.0388902470176</v>
      </c>
      <c r="K24" s="5">
        <f t="shared" si="1"/>
        <v>1864285.73</v>
      </c>
      <c r="L24" s="4">
        <f t="shared" si="2"/>
        <v>0</v>
      </c>
      <c r="M24" s="2" cm="1">
        <f t="array" ref="M24">SUMPRODUCT(--($L$6:$L$300&lt;&gt;1),--($C$6:$C$300=$C24),$H$6:$H$300)/SUMPRODUCT(--($L$6:$L$300&lt;&gt;1),--($C$6:$C$300=$C24),$E$6:$E$300)</f>
        <v>423.21962221333717</v>
      </c>
      <c r="N24" s="1" cm="1">
        <f t="array" ref="N24">SUMPRODUCT(--($L$6:$L$300&lt;&gt;1),--($C$6:$C$300=$C24))</f>
        <v>7</v>
      </c>
      <c r="O24" s="3">
        <f t="shared" si="6"/>
        <v>27949.397140794386</v>
      </c>
      <c r="P24" s="2" cm="1">
        <f t="array" ref="P24">SQRT(SUMPRODUCT(--($L$6:$L$300&lt;&gt;1),--($C$6:$C$300=$C24),$E$6:$E$300,$O$6:$O$300)/((N24-1)*SUMPRODUCT(--($L$6:$L$300&lt;&gt;1),--($C$6:$C$300=$C24),$E$6:$E$300)/N24))</f>
        <v>284.7045452913319</v>
      </c>
      <c r="Q24" s="2">
        <f t="shared" si="3"/>
        <v>58.35606647756714</v>
      </c>
      <c r="R24" s="2">
        <f t="shared" si="3"/>
        <v>788.08317794910727</v>
      </c>
      <c r="S24" s="2">
        <f t="shared" si="7"/>
        <v>256.0388902470176</v>
      </c>
    </row>
    <row r="25" spans="2:19" x14ac:dyDescent="0.35">
      <c r="B25">
        <v>12</v>
      </c>
      <c r="C25" s="17">
        <v>4</v>
      </c>
      <c r="D25" s="22" t="s">
        <v>49</v>
      </c>
      <c r="E25" s="90">
        <f>INDEX('Revised 2019 Lockdown'!H$5:H$257,MATCH(B25,'Revised 2019 Lockdown'!B$5:B$257,0))</f>
        <v>4825.329999999999</v>
      </c>
      <c r="F25" s="7">
        <f>INDEX('Revised 2019 Lockdown'!E$5:E$257,MATCH(B25,'Revised 2019 Lockdown'!B$5:B$257,0))</f>
        <v>3052966.7</v>
      </c>
      <c r="G25" s="7">
        <f>INDEX('Revised 2019 Lockdown'!F$5:F$257,MATCH(B25,'Revised 2019 Lockdown'!B$5:B$257,0))</f>
        <v>488646.3899999999</v>
      </c>
      <c r="H25" s="7">
        <f t="shared" si="4"/>
        <v>2564320.3100000005</v>
      </c>
      <c r="I25" s="6">
        <f t="shared" si="0"/>
        <v>531.42900278322952</v>
      </c>
      <c r="J25" s="6">
        <f t="shared" si="5"/>
        <v>531.42900278322952</v>
      </c>
      <c r="K25" s="5">
        <f t="shared" si="1"/>
        <v>2564320.3100000005</v>
      </c>
      <c r="L25" s="4">
        <f t="shared" si="2"/>
        <v>0</v>
      </c>
      <c r="M25" s="2" cm="1">
        <f t="array" ref="M25">SUMPRODUCT(--($L$6:$L$300&lt;&gt;1),--($C$6:$C$300=$C25),$H$6:$H$300)/SUMPRODUCT(--($L$6:$L$300&lt;&gt;1),--($C$6:$C$300=$C25),$E$6:$E$300)</f>
        <v>491.35283770199663</v>
      </c>
      <c r="N25" s="1" cm="1">
        <f t="array" ref="N25">SUMPRODUCT(--($L$6:$L$300&lt;&gt;1),--($C$6:$C$300=$C25))</f>
        <v>15</v>
      </c>
      <c r="O25" s="3">
        <f t="shared" si="6"/>
        <v>1606.0990076182302</v>
      </c>
      <c r="P25" s="2" cm="1">
        <f t="array" ref="P25">SQRT(SUMPRODUCT(--($L$6:$L$300&lt;&gt;1),--($C$6:$C$300=$C25),$E$6:$E$300,$O$6:$O$300)/((N25-1)*SUMPRODUCT(--($L$6:$L$300&lt;&gt;1),--($C$6:$C$300=$C25),$E$6:$E$300)/N25))</f>
        <v>160.16425937277282</v>
      </c>
      <c r="Q25" s="2">
        <f t="shared" si="3"/>
        <v>286.09408035852817</v>
      </c>
      <c r="R25" s="2">
        <f t="shared" si="3"/>
        <v>696.61159504546504</v>
      </c>
      <c r="S25" s="2">
        <f t="shared" si="7"/>
        <v>531.42900278322952</v>
      </c>
    </row>
    <row r="26" spans="2:19" x14ac:dyDescent="0.35">
      <c r="B26">
        <v>21</v>
      </c>
      <c r="C26" s="17">
        <v>4</v>
      </c>
      <c r="D26" s="22" t="s">
        <v>50</v>
      </c>
      <c r="E26" s="90">
        <f>INDEX('Revised 2019 Lockdown'!H$5:H$257,MATCH(B26,'Revised 2019 Lockdown'!B$5:B$257,0))</f>
        <v>5084.4800000000014</v>
      </c>
      <c r="F26" s="7">
        <f>INDEX('Revised 2019 Lockdown'!E$5:E$257,MATCH(B26,'Revised 2019 Lockdown'!B$5:B$257,0))</f>
        <v>3295191.2</v>
      </c>
      <c r="G26" s="7">
        <f>INDEX('Revised 2019 Lockdown'!F$5:F$257,MATCH(B26,'Revised 2019 Lockdown'!B$5:B$257,0))</f>
        <v>429434.07</v>
      </c>
      <c r="H26" s="7">
        <f t="shared" si="4"/>
        <v>2865757.1300000004</v>
      </c>
      <c r="I26" s="6">
        <f t="shared" si="0"/>
        <v>563.6283612090125</v>
      </c>
      <c r="J26" s="6">
        <f t="shared" si="5"/>
        <v>563.6283612090125</v>
      </c>
      <c r="K26" s="5">
        <f t="shared" si="1"/>
        <v>2865757.1300000008</v>
      </c>
      <c r="L26" s="4">
        <f t="shared" si="2"/>
        <v>0</v>
      </c>
      <c r="M26" s="2" cm="1">
        <f t="array" ref="M26">SUMPRODUCT(--($L$6:$L$300&lt;&gt;1),--($C$6:$C$300=$C26),$H$6:$H$300)/SUMPRODUCT(--($L$6:$L$300&lt;&gt;1),--($C$6:$C$300=$C26),$E$6:$E$300)</f>
        <v>491.35283770199663</v>
      </c>
      <c r="N26" s="1" cm="1">
        <f t="array" ref="N26">SUMPRODUCT(--($L$6:$L$300&lt;&gt;1),--($C$6:$C$300=$C26))</f>
        <v>15</v>
      </c>
      <c r="O26" s="3">
        <f t="shared" si="6"/>
        <v>5223.7512982132021</v>
      </c>
      <c r="P26" s="2" cm="1">
        <f t="array" ref="P26">SQRT(SUMPRODUCT(--($L$6:$L$300&lt;&gt;1),--($C$6:$C$300=$C26),$E$6:$E$300,$O$6:$O$300)/((N26-1)*SUMPRODUCT(--($L$6:$L$300&lt;&gt;1),--($C$6:$C$300=$C26),$E$6:$E$300)/N26))</f>
        <v>160.16425937277282</v>
      </c>
      <c r="Q26" s="2">
        <f t="shared" si="3"/>
        <v>286.09408035852817</v>
      </c>
      <c r="R26" s="2">
        <f t="shared" si="3"/>
        <v>696.61159504546504</v>
      </c>
      <c r="S26" s="2">
        <f t="shared" si="7"/>
        <v>563.6283612090125</v>
      </c>
    </row>
    <row r="27" spans="2:19" x14ac:dyDescent="0.35">
      <c r="B27">
        <v>34</v>
      </c>
      <c r="C27" s="17">
        <v>4</v>
      </c>
      <c r="D27" s="22" t="s">
        <v>51</v>
      </c>
      <c r="E27" s="90">
        <f>INDEX('Revised 2019 Lockdown'!H$5:H$257,MATCH(B27,'Revised 2019 Lockdown'!B$5:B$257,0))</f>
        <v>4463.82</v>
      </c>
      <c r="F27" s="7">
        <f>INDEX('Revised 2019 Lockdown'!E$5:E$257,MATCH(B27,'Revised 2019 Lockdown'!B$5:B$257,0))</f>
        <v>2138130.23</v>
      </c>
      <c r="G27" s="7">
        <f>INDEX('Revised 2019 Lockdown'!F$5:F$257,MATCH(B27,'Revised 2019 Lockdown'!B$5:B$257,0))</f>
        <v>417619.64</v>
      </c>
      <c r="H27" s="7">
        <f t="shared" si="4"/>
        <v>1720510.5899999999</v>
      </c>
      <c r="I27" s="6">
        <f t="shared" si="0"/>
        <v>385.43458069545812</v>
      </c>
      <c r="J27" s="6">
        <f t="shared" si="5"/>
        <v>385.43458069545812</v>
      </c>
      <c r="K27" s="5">
        <f t="shared" si="1"/>
        <v>1720510.5899999999</v>
      </c>
      <c r="L27" s="4">
        <f t="shared" si="2"/>
        <v>0</v>
      </c>
      <c r="M27" s="2" cm="1">
        <f t="array" ref="M27">SUMPRODUCT(--($L$6:$L$300&lt;&gt;1),--($C$6:$C$300=$C27),$H$6:$H$300)/SUMPRODUCT(--($L$6:$L$300&lt;&gt;1),--($C$6:$C$300=$C27),$E$6:$E$300)</f>
        <v>491.35283770199663</v>
      </c>
      <c r="N27" s="1" cm="1">
        <f t="array" ref="N27">SUMPRODUCT(--($L$6:$L$300&lt;&gt;1),--($C$6:$C$300=$C27))</f>
        <v>15</v>
      </c>
      <c r="O27" s="3">
        <f t="shared" si="6"/>
        <v>11218.677167303144</v>
      </c>
      <c r="P27" s="2" cm="1">
        <f t="array" ref="P27">SQRT(SUMPRODUCT(--($L$6:$L$300&lt;&gt;1),--($C$6:$C$300=$C27),$E$6:$E$300,$O$6:$O$300)/((N27-1)*SUMPRODUCT(--($L$6:$L$300&lt;&gt;1),--($C$6:$C$300=$C27),$E$6:$E$300)/N27))</f>
        <v>160.16425937277282</v>
      </c>
      <c r="Q27" s="2">
        <f t="shared" si="3"/>
        <v>286.09408035852817</v>
      </c>
      <c r="R27" s="2">
        <f t="shared" si="3"/>
        <v>696.61159504546504</v>
      </c>
      <c r="S27" s="2">
        <f t="shared" si="7"/>
        <v>385.43458069545812</v>
      </c>
    </row>
    <row r="28" spans="2:19" x14ac:dyDescent="0.35">
      <c r="B28">
        <v>87</v>
      </c>
      <c r="C28" s="17">
        <v>4</v>
      </c>
      <c r="D28" s="22" t="s">
        <v>52</v>
      </c>
      <c r="E28" s="90">
        <f>INDEX('Revised 2019 Lockdown'!H$5:H$257,MATCH(B28,'Revised 2019 Lockdown'!B$5:B$257,0))</f>
        <v>10236.479999999998</v>
      </c>
      <c r="F28" s="7">
        <f>INDEX('Revised 2019 Lockdown'!E$5:E$257,MATCH(B28,'Revised 2019 Lockdown'!B$5:B$257,0))</f>
        <v>4913017.38</v>
      </c>
      <c r="G28" s="7">
        <f>INDEX('Revised 2019 Lockdown'!F$5:F$257,MATCH(B28,'Revised 2019 Lockdown'!B$5:B$257,0))</f>
        <v>799960.04</v>
      </c>
      <c r="H28" s="7">
        <f t="shared" si="4"/>
        <v>4113057.34</v>
      </c>
      <c r="I28" s="6">
        <f t="shared" si="0"/>
        <v>401.80387594173004</v>
      </c>
      <c r="J28" s="6">
        <f t="shared" si="5"/>
        <v>401.80387594173004</v>
      </c>
      <c r="K28" s="5">
        <f t="shared" si="1"/>
        <v>4113057.34</v>
      </c>
      <c r="L28" s="4">
        <f t="shared" si="2"/>
        <v>0</v>
      </c>
      <c r="M28" s="2" cm="1">
        <f t="array" ref="M28">SUMPRODUCT(--($L$6:$L$300&lt;&gt;1),--($C$6:$C$300=$C28),$H$6:$H$300)/SUMPRODUCT(--($L$6:$L$300&lt;&gt;1),--($C$6:$C$300=$C28),$E$6:$E$300)</f>
        <v>491.35283770199663</v>
      </c>
      <c r="N28" s="1" cm="1">
        <f t="array" ref="N28">SUMPRODUCT(--($L$6:$L$300&lt;&gt;1),--($C$6:$C$300=$C28))</f>
        <v>15</v>
      </c>
      <c r="O28" s="3">
        <f t="shared" si="6"/>
        <v>8019.0165523416881</v>
      </c>
      <c r="P28" s="2" cm="1">
        <f t="array" ref="P28">SQRT(SUMPRODUCT(--($L$6:$L$300&lt;&gt;1),--($C$6:$C$300=$C28),$E$6:$E$300,$O$6:$O$300)/((N28-1)*SUMPRODUCT(--($L$6:$L$300&lt;&gt;1),--($C$6:$C$300=$C28),$E$6:$E$300)/N28))</f>
        <v>160.16425937277282</v>
      </c>
      <c r="Q28" s="2">
        <f t="shared" si="3"/>
        <v>286.09408035852817</v>
      </c>
      <c r="R28" s="2">
        <f t="shared" si="3"/>
        <v>696.61159504546504</v>
      </c>
      <c r="S28" s="2">
        <f t="shared" si="7"/>
        <v>401.80387594173004</v>
      </c>
    </row>
    <row r="29" spans="2:19" x14ac:dyDescent="0.35">
      <c r="B29">
        <v>88</v>
      </c>
      <c r="C29" s="17">
        <v>4</v>
      </c>
      <c r="D29" s="22" t="s">
        <v>53</v>
      </c>
      <c r="E29" s="90">
        <f>INDEX('Revised 2019 Lockdown'!H$5:H$257,MATCH(B29,'Revised 2019 Lockdown'!B$5:B$257,0))</f>
        <v>4907.8008</v>
      </c>
      <c r="F29" s="7">
        <f>INDEX('Revised 2019 Lockdown'!E$5:E$257,MATCH(B29,'Revised 2019 Lockdown'!B$5:B$257,0))</f>
        <v>2453153.67</v>
      </c>
      <c r="G29" s="7">
        <f>INDEX('Revised 2019 Lockdown'!F$5:F$257,MATCH(B29,'Revised 2019 Lockdown'!B$5:B$257,0))</f>
        <v>459020.94</v>
      </c>
      <c r="H29" s="7">
        <f t="shared" si="4"/>
        <v>1994132.73</v>
      </c>
      <c r="I29" s="6">
        <f t="shared" si="0"/>
        <v>406.31900341187441</v>
      </c>
      <c r="J29" s="6">
        <f t="shared" si="5"/>
        <v>406.31900341187441</v>
      </c>
      <c r="K29" s="5">
        <f t="shared" si="1"/>
        <v>1994132.73</v>
      </c>
      <c r="L29" s="4">
        <f t="shared" si="2"/>
        <v>0</v>
      </c>
      <c r="M29" s="2" cm="1">
        <f t="array" ref="M29">SUMPRODUCT(--($L$6:$L$300&lt;&gt;1),--($C$6:$C$300=$C29),$H$6:$H$300)/SUMPRODUCT(--($L$6:$L$300&lt;&gt;1),--($C$6:$C$300=$C29),$E$6:$E$300)</f>
        <v>491.35283770199663</v>
      </c>
      <c r="N29" s="1" cm="1">
        <f t="array" ref="N29">SUMPRODUCT(--($L$6:$L$300&lt;&gt;1),--($C$6:$C$300=$C29))</f>
        <v>15</v>
      </c>
      <c r="O29" s="3">
        <f t="shared" si="6"/>
        <v>7230.7529740799673</v>
      </c>
      <c r="P29" s="2" cm="1">
        <f t="array" ref="P29">SQRT(SUMPRODUCT(--($L$6:$L$300&lt;&gt;1),--($C$6:$C$300=$C29),$E$6:$E$300,$O$6:$O$300)/((N29-1)*SUMPRODUCT(--($L$6:$L$300&lt;&gt;1),--($C$6:$C$300=$C29),$E$6:$E$300)/N29))</f>
        <v>160.16425937277282</v>
      </c>
      <c r="Q29" s="2">
        <f t="shared" si="3"/>
        <v>286.09408035852817</v>
      </c>
      <c r="R29" s="2">
        <f t="shared" si="3"/>
        <v>696.61159504546504</v>
      </c>
      <c r="S29" s="2">
        <f t="shared" si="7"/>
        <v>406.31900341187441</v>
      </c>
    </row>
    <row r="30" spans="2:19" x14ac:dyDescent="0.35">
      <c r="B30">
        <v>89</v>
      </c>
      <c r="C30" s="17">
        <v>4</v>
      </c>
      <c r="D30" s="22" t="s">
        <v>344</v>
      </c>
      <c r="E30" s="90">
        <f>INDEX('Revised 2019 Lockdown'!H$5:H$257,MATCH(B30,'Revised 2019 Lockdown'!B$5:B$257,0))</f>
        <v>5289.19</v>
      </c>
      <c r="F30" s="7">
        <f>INDEX('Revised 2019 Lockdown'!E$5:E$257,MATCH(B30,'Revised 2019 Lockdown'!B$5:B$257,0))</f>
        <v>4597416.66</v>
      </c>
      <c r="G30" s="7">
        <f>INDEX('Revised 2019 Lockdown'!F$5:F$257,MATCH(B30,'Revised 2019 Lockdown'!B$5:B$257,0))</f>
        <v>379921.47</v>
      </c>
      <c r="H30" s="7">
        <f t="shared" si="4"/>
        <v>4217495.1900000004</v>
      </c>
      <c r="I30" s="6">
        <f t="shared" si="0"/>
        <v>797.38016407049111</v>
      </c>
      <c r="J30" s="6">
        <f t="shared" si="5"/>
        <v>696.61159504546504</v>
      </c>
      <c r="K30" s="5">
        <f t="shared" si="1"/>
        <v>3684511.0823985231</v>
      </c>
      <c r="L30" s="4">
        <f t="shared" si="2"/>
        <v>0</v>
      </c>
      <c r="M30" s="2" cm="1">
        <f t="array" ref="M30">SUMPRODUCT(--($L$6:$L$300&lt;&gt;1),--($C$6:$C$300=$C30),$H$6:$H$300)/SUMPRODUCT(--($L$6:$L$300&lt;&gt;1),--($C$6:$C$300=$C30),$E$6:$E$300)</f>
        <v>491.35283770199663</v>
      </c>
      <c r="N30" s="1" cm="1">
        <f t="array" ref="N30">SUMPRODUCT(--($L$6:$L$300&lt;&gt;1),--($C$6:$C$300=$C30))</f>
        <v>15</v>
      </c>
      <c r="O30" s="3">
        <f t="shared" si="6"/>
        <v>93652.724484249033</v>
      </c>
      <c r="P30" s="2" cm="1">
        <f t="array" ref="P30">SQRT(SUMPRODUCT(--($L$6:$L$300&lt;&gt;1),--($C$6:$C$300=$C30),$E$6:$E$300,$O$6:$O$300)/((N30-1)*SUMPRODUCT(--($L$6:$L$300&lt;&gt;1),--($C$6:$C$300=$C30),$E$6:$E$300)/N30))</f>
        <v>160.16425937277282</v>
      </c>
      <c r="Q30" s="2">
        <f t="shared" si="3"/>
        <v>286.09408035852817</v>
      </c>
      <c r="R30" s="2">
        <f t="shared" si="3"/>
        <v>696.61159504546504</v>
      </c>
      <c r="S30" s="2">
        <f t="shared" si="7"/>
        <v>696.61159504546504</v>
      </c>
    </row>
    <row r="31" spans="2:19" x14ac:dyDescent="0.35">
      <c r="B31">
        <v>143</v>
      </c>
      <c r="C31" s="17">
        <v>4</v>
      </c>
      <c r="D31" s="22" t="s">
        <v>55</v>
      </c>
      <c r="E31" s="90">
        <f>INDEX('Revised 2019 Lockdown'!H$5:H$257,MATCH(B31,'Revised 2019 Lockdown'!B$5:B$257,0))</f>
        <v>2868.39</v>
      </c>
      <c r="F31" s="7">
        <f>INDEX('Revised 2019 Lockdown'!E$5:E$257,MATCH(B31,'Revised 2019 Lockdown'!B$5:B$257,0))</f>
        <v>871204.41</v>
      </c>
      <c r="G31" s="7">
        <f>INDEX('Revised 2019 Lockdown'!F$5:F$257,MATCH(B31,'Revised 2019 Lockdown'!B$5:B$257,0))</f>
        <v>280661.95</v>
      </c>
      <c r="H31" s="7">
        <f t="shared" si="4"/>
        <v>590542.46</v>
      </c>
      <c r="I31" s="6">
        <f t="shared" si="0"/>
        <v>205.87941667625392</v>
      </c>
      <c r="J31" s="6">
        <f t="shared" si="5"/>
        <v>205.87941667625392</v>
      </c>
      <c r="K31" s="5">
        <f t="shared" si="1"/>
        <v>590542.46</v>
      </c>
      <c r="L31" s="4">
        <f t="shared" si="2"/>
        <v>0</v>
      </c>
      <c r="M31" s="2" cm="1">
        <f t="array" ref="M31">SUMPRODUCT(--($L$6:$L$300&lt;&gt;1),--($C$6:$C$300=$C31),$H$6:$H$300)/SUMPRODUCT(--($L$6:$L$300&lt;&gt;1),--($C$6:$C$300=$C31),$E$6:$E$300)</f>
        <v>491.35283770199663</v>
      </c>
      <c r="N31" s="1" cm="1">
        <f t="array" ref="N31">SUMPRODUCT(--($L$6:$L$300&lt;&gt;1),--($C$6:$C$300=$C31))</f>
        <v>15</v>
      </c>
      <c r="O31" s="3">
        <f t="shared" si="6"/>
        <v>81495.074112140966</v>
      </c>
      <c r="P31" s="2" cm="1">
        <f t="array" ref="P31">SQRT(SUMPRODUCT(--($L$6:$L$300&lt;&gt;1),--($C$6:$C$300=$C31),$E$6:$E$300,$O$6:$O$300)/((N31-1)*SUMPRODUCT(--($L$6:$L$300&lt;&gt;1),--($C$6:$C$300=$C31),$E$6:$E$300)/N31))</f>
        <v>160.16425937277282</v>
      </c>
      <c r="Q31" s="2">
        <f t="shared" si="3"/>
        <v>286.09408035852817</v>
      </c>
      <c r="R31" s="2">
        <f t="shared" si="3"/>
        <v>696.61159504546504</v>
      </c>
      <c r="S31" s="2">
        <f t="shared" si="7"/>
        <v>286.09408035852817</v>
      </c>
    </row>
    <row r="32" spans="2:19" x14ac:dyDescent="0.35">
      <c r="B32">
        <v>183</v>
      </c>
      <c r="C32" s="17">
        <v>4</v>
      </c>
      <c r="D32" s="22" t="s">
        <v>56</v>
      </c>
      <c r="E32" s="90">
        <f>INDEX('Revised 2019 Lockdown'!H$5:H$257,MATCH(B32,'Revised 2019 Lockdown'!B$5:B$257,0))</f>
        <v>10899.530000000002</v>
      </c>
      <c r="F32" s="7">
        <f>INDEX('Revised 2019 Lockdown'!E$5:E$257,MATCH(B32,'Revised 2019 Lockdown'!B$5:B$257,0))</f>
        <v>6984982.6799999997</v>
      </c>
      <c r="G32" s="7">
        <f>INDEX('Revised 2019 Lockdown'!F$5:F$257,MATCH(B32,'Revised 2019 Lockdown'!B$5:B$257,0))</f>
        <v>345255.24999999994</v>
      </c>
      <c r="H32" s="7">
        <f t="shared" si="4"/>
        <v>6639727.4299999997</v>
      </c>
      <c r="I32" s="6">
        <f t="shared" si="0"/>
        <v>609.17557270818088</v>
      </c>
      <c r="J32" s="6">
        <f t="shared" si="5"/>
        <v>609.17557270818088</v>
      </c>
      <c r="K32" s="5">
        <f t="shared" si="1"/>
        <v>6639727.4300000006</v>
      </c>
      <c r="L32" s="4">
        <f t="shared" si="2"/>
        <v>0</v>
      </c>
      <c r="M32" s="2" cm="1">
        <f t="array" ref="M32">SUMPRODUCT(--($L$6:$L$300&lt;&gt;1),--($C$6:$C$300=$C32),$H$6:$H$300)/SUMPRODUCT(--($L$6:$L$300&lt;&gt;1),--($C$6:$C$300=$C32),$E$6:$E$300)</f>
        <v>491.35283770199663</v>
      </c>
      <c r="N32" s="1" cm="1">
        <f t="array" ref="N32">SUMPRODUCT(--($L$6:$L$300&lt;&gt;1),--($C$6:$C$300=$C32))</f>
        <v>15</v>
      </c>
      <c r="O32" s="3">
        <f t="shared" si="6"/>
        <v>13882.196884337514</v>
      </c>
      <c r="P32" s="2" cm="1">
        <f t="array" ref="P32">SQRT(SUMPRODUCT(--($L$6:$L$300&lt;&gt;1),--($C$6:$C$300=$C32),$E$6:$E$300,$O$6:$O$300)/((N32-1)*SUMPRODUCT(--($L$6:$L$300&lt;&gt;1),--($C$6:$C$300=$C32),$E$6:$E$300)/N32))</f>
        <v>160.16425937277282</v>
      </c>
      <c r="Q32" s="2">
        <f t="shared" si="3"/>
        <v>286.09408035852817</v>
      </c>
      <c r="R32" s="2">
        <f t="shared" si="3"/>
        <v>696.61159504546504</v>
      </c>
      <c r="S32" s="2">
        <f t="shared" si="7"/>
        <v>609.17557270818088</v>
      </c>
    </row>
    <row r="33" spans="2:19" x14ac:dyDescent="0.35">
      <c r="B33">
        <v>186</v>
      </c>
      <c r="C33" s="17">
        <v>4</v>
      </c>
      <c r="D33" s="22" t="s">
        <v>57</v>
      </c>
      <c r="E33" s="90">
        <f>INDEX('Revised 2019 Lockdown'!H$5:H$257,MATCH(B33,'Revised 2019 Lockdown'!B$5:B$257,0))</f>
        <v>10708.64</v>
      </c>
      <c r="F33" s="7">
        <f>INDEX('Revised 2019 Lockdown'!E$5:E$257,MATCH(B33,'Revised 2019 Lockdown'!B$5:B$257,0))</f>
        <v>8376518.0300000003</v>
      </c>
      <c r="G33" s="7">
        <f>INDEX('Revised 2019 Lockdown'!F$5:F$257,MATCH(B33,'Revised 2019 Lockdown'!B$5:B$257,0))</f>
        <v>1283505.8</v>
      </c>
      <c r="H33" s="7">
        <f t="shared" si="4"/>
        <v>7093012.2300000004</v>
      </c>
      <c r="I33" s="6">
        <f t="shared" si="0"/>
        <v>662.36349620493365</v>
      </c>
      <c r="J33" s="6">
        <f t="shared" si="5"/>
        <v>662.36349620493365</v>
      </c>
      <c r="K33" s="5">
        <f t="shared" si="1"/>
        <v>7093012.2300000004</v>
      </c>
      <c r="L33" s="4">
        <f t="shared" si="2"/>
        <v>0</v>
      </c>
      <c r="M33" s="2" cm="1">
        <f t="array" ref="M33">SUMPRODUCT(--($L$6:$L$300&lt;&gt;1),--($C$6:$C$300=$C33),$H$6:$H$300)/SUMPRODUCT(--($L$6:$L$300&lt;&gt;1),--($C$6:$C$300=$C33),$E$6:$E$300)</f>
        <v>491.35283770199663</v>
      </c>
      <c r="N33" s="1" cm="1">
        <f t="array" ref="N33">SUMPRODUCT(--($L$6:$L$300&lt;&gt;1),--($C$6:$C$300=$C33))</f>
        <v>15</v>
      </c>
      <c r="O33" s="3">
        <f t="shared" si="6"/>
        <v>29244.645321608146</v>
      </c>
      <c r="P33" s="2" cm="1">
        <f t="array" ref="P33">SQRT(SUMPRODUCT(--($L$6:$L$300&lt;&gt;1),--($C$6:$C$300=$C33),$E$6:$E$300,$O$6:$O$300)/((N33-1)*SUMPRODUCT(--($L$6:$L$300&lt;&gt;1),--($C$6:$C$300=$C33),$E$6:$E$300)/N33))</f>
        <v>160.16425937277282</v>
      </c>
      <c r="Q33" s="2">
        <f t="shared" si="3"/>
        <v>286.09408035852817</v>
      </c>
      <c r="R33" s="2">
        <f t="shared" si="3"/>
        <v>696.61159504546504</v>
      </c>
      <c r="S33" s="2">
        <f t="shared" si="7"/>
        <v>662.36349620493365</v>
      </c>
    </row>
    <row r="34" spans="2:19" x14ac:dyDescent="0.35">
      <c r="B34">
        <v>190</v>
      </c>
      <c r="C34" s="17">
        <v>4</v>
      </c>
      <c r="D34" s="22" t="s">
        <v>58</v>
      </c>
      <c r="E34" s="90">
        <f>INDEX('Revised 2019 Lockdown'!H$5:H$257,MATCH(B34,'Revised 2019 Lockdown'!B$5:B$257,0))</f>
        <v>3049.19</v>
      </c>
      <c r="F34" s="7">
        <f>INDEX('Revised 2019 Lockdown'!E$5:E$257,MATCH(B34,'Revised 2019 Lockdown'!B$5:B$257,0))</f>
        <v>2369996.16</v>
      </c>
      <c r="G34" s="7">
        <f>INDEX('Revised 2019 Lockdown'!F$5:F$257,MATCH(B34,'Revised 2019 Lockdown'!B$5:B$257,0))</f>
        <v>436295.02999999997</v>
      </c>
      <c r="H34" s="7">
        <f t="shared" si="4"/>
        <v>1933701.1300000001</v>
      </c>
      <c r="I34" s="6">
        <f t="shared" si="0"/>
        <v>634.1687890882497</v>
      </c>
      <c r="J34" s="6">
        <f t="shared" si="5"/>
        <v>634.1687890882497</v>
      </c>
      <c r="K34" s="5">
        <f t="shared" si="1"/>
        <v>1933701.1300000001</v>
      </c>
      <c r="L34" s="4">
        <f t="shared" si="2"/>
        <v>0</v>
      </c>
      <c r="M34" s="2" cm="1">
        <f t="array" ref="M34">SUMPRODUCT(--($L$6:$L$300&lt;&gt;1),--($C$6:$C$300=$C34),$H$6:$H$300)/SUMPRODUCT(--($L$6:$L$300&lt;&gt;1),--($C$6:$C$300=$C34),$E$6:$E$300)</f>
        <v>491.35283770199663</v>
      </c>
      <c r="N34" s="1" cm="1">
        <f t="array" ref="N34">SUMPRODUCT(--($L$6:$L$300&lt;&gt;1),--($C$6:$C$300=$C34))</f>
        <v>15</v>
      </c>
      <c r="O34" s="3">
        <f t="shared" si="6"/>
        <v>20396.395970360598</v>
      </c>
      <c r="P34" s="2" cm="1">
        <f t="array" ref="P34">SQRT(SUMPRODUCT(--($L$6:$L$300&lt;&gt;1),--($C$6:$C$300=$C34),$E$6:$E$300,$O$6:$O$300)/((N34-1)*SUMPRODUCT(--($L$6:$L$300&lt;&gt;1),--($C$6:$C$300=$C34),$E$6:$E$300)/N34))</f>
        <v>160.16425937277282</v>
      </c>
      <c r="Q34" s="2">
        <f t="shared" si="3"/>
        <v>286.09408035852817</v>
      </c>
      <c r="R34" s="2">
        <f t="shared" si="3"/>
        <v>696.61159504546504</v>
      </c>
      <c r="S34" s="2">
        <f t="shared" si="7"/>
        <v>634.1687890882497</v>
      </c>
    </row>
    <row r="35" spans="2:19" x14ac:dyDescent="0.35">
      <c r="B35">
        <v>324</v>
      </c>
      <c r="C35" s="17">
        <v>4</v>
      </c>
      <c r="D35" s="22" t="s">
        <v>59</v>
      </c>
      <c r="E35" s="90">
        <f>INDEX('Revised 2019 Lockdown'!H$5:H$257,MATCH(B35,'Revised 2019 Lockdown'!B$5:B$257,0))</f>
        <v>7376.43</v>
      </c>
      <c r="F35" s="7">
        <f>INDEX('Revised 2019 Lockdown'!E$5:E$257,MATCH(B35,'Revised 2019 Lockdown'!B$5:B$257,0))</f>
        <v>4457265.8099999996</v>
      </c>
      <c r="G35" s="7">
        <f>INDEX('Revised 2019 Lockdown'!F$5:F$257,MATCH(B35,'Revised 2019 Lockdown'!B$5:B$257,0))</f>
        <v>744094.01</v>
      </c>
      <c r="H35" s="7">
        <f t="shared" si="4"/>
        <v>3713171.8</v>
      </c>
      <c r="I35" s="6">
        <f t="shared" si="0"/>
        <v>503.38331686195079</v>
      </c>
      <c r="J35" s="6">
        <f t="shared" si="5"/>
        <v>503.38331686195079</v>
      </c>
      <c r="K35" s="5">
        <f t="shared" si="1"/>
        <v>3713171.8</v>
      </c>
      <c r="L35" s="4">
        <f t="shared" si="2"/>
        <v>0</v>
      </c>
      <c r="M35" s="2" cm="1">
        <f t="array" ref="M35">SUMPRODUCT(--($L$6:$L$300&lt;&gt;1),--($C$6:$C$300=$C35),$H$6:$H$300)/SUMPRODUCT(--($L$6:$L$300&lt;&gt;1),--($C$6:$C$300=$C35),$E$6:$E$300)</f>
        <v>491.35283770199663</v>
      </c>
      <c r="N35" s="1" cm="1">
        <f t="array" ref="N35">SUMPRODUCT(--($L$6:$L$300&lt;&gt;1),--($C$6:$C$300=$C35))</f>
        <v>15</v>
      </c>
      <c r="O35" s="3">
        <f t="shared" si="6"/>
        <v>144.73242881809122</v>
      </c>
      <c r="P35" s="2" cm="1">
        <f t="array" ref="P35">SQRT(SUMPRODUCT(--($L$6:$L$300&lt;&gt;1),--($C$6:$C$300=$C35),$E$6:$E$300,$O$6:$O$300)/((N35-1)*SUMPRODUCT(--($L$6:$L$300&lt;&gt;1),--($C$6:$C$300=$C35),$E$6:$E$300)/N35))</f>
        <v>160.16425937277282</v>
      </c>
      <c r="Q35" s="2">
        <f t="shared" si="3"/>
        <v>286.09408035852817</v>
      </c>
      <c r="R35" s="2">
        <f t="shared" si="3"/>
        <v>696.61159504546504</v>
      </c>
      <c r="S35" s="2">
        <f t="shared" si="7"/>
        <v>503.38331686195079</v>
      </c>
    </row>
    <row r="36" spans="2:19" x14ac:dyDescent="0.35">
      <c r="B36">
        <v>429</v>
      </c>
      <c r="C36" s="17">
        <v>4</v>
      </c>
      <c r="D36" s="22" t="s">
        <v>60</v>
      </c>
      <c r="E36" s="90">
        <f>INDEX('Revised 2019 Lockdown'!H$5:H$257,MATCH(B36,'Revised 2019 Lockdown'!B$5:B$257,0))</f>
        <v>4180.4643999999998</v>
      </c>
      <c r="F36" s="7">
        <f>INDEX('Revised 2019 Lockdown'!E$5:E$257,MATCH(B36,'Revised 2019 Lockdown'!B$5:B$257,0))</f>
        <v>1615598.05</v>
      </c>
      <c r="G36" s="7">
        <f>INDEX('Revised 2019 Lockdown'!F$5:F$257,MATCH(B36,'Revised 2019 Lockdown'!B$5:B$257,0))</f>
        <v>324593.48</v>
      </c>
      <c r="H36" s="7">
        <f t="shared" si="4"/>
        <v>1291004.57</v>
      </c>
      <c r="I36" s="6">
        <f t="shared" si="0"/>
        <v>308.81845806413281</v>
      </c>
      <c r="J36" s="6">
        <f t="shared" si="5"/>
        <v>308.81845806413281</v>
      </c>
      <c r="K36" s="5">
        <f t="shared" si="1"/>
        <v>1291004.57</v>
      </c>
      <c r="L36" s="4">
        <f t="shared" si="2"/>
        <v>0</v>
      </c>
      <c r="M36" s="2" cm="1">
        <f t="array" ref="M36">SUMPRODUCT(--($L$6:$L$300&lt;&gt;1),--($C$6:$C$300=$C36),$H$6:$H$300)/SUMPRODUCT(--($L$6:$L$300&lt;&gt;1),--($C$6:$C$300=$C36),$E$6:$E$300)</f>
        <v>491.35283770199663</v>
      </c>
      <c r="N36" s="1" cm="1">
        <f t="array" ref="N36">SUMPRODUCT(--($L$6:$L$300&lt;&gt;1),--($C$6:$C$300=$C36))</f>
        <v>15</v>
      </c>
      <c r="O36" s="3">
        <f t="shared" si="6"/>
        <v>33318.799749779791</v>
      </c>
      <c r="P36" s="2" cm="1">
        <f t="array" ref="P36">SQRT(SUMPRODUCT(--($L$6:$L$300&lt;&gt;1),--($C$6:$C$300=$C36),$E$6:$E$300,$O$6:$O$300)/((N36-1)*SUMPRODUCT(--($L$6:$L$300&lt;&gt;1),--($C$6:$C$300=$C36),$E$6:$E$300)/N36))</f>
        <v>160.16425937277282</v>
      </c>
      <c r="Q36" s="2">
        <f t="shared" si="3"/>
        <v>286.09408035852817</v>
      </c>
      <c r="R36" s="2">
        <f t="shared" si="3"/>
        <v>696.61159504546504</v>
      </c>
      <c r="S36" s="2">
        <f t="shared" si="7"/>
        <v>308.81845806413281</v>
      </c>
    </row>
    <row r="37" spans="2:19" x14ac:dyDescent="0.35">
      <c r="B37">
        <v>601</v>
      </c>
      <c r="C37" s="17">
        <v>4</v>
      </c>
      <c r="D37" s="22" t="s">
        <v>61</v>
      </c>
      <c r="E37" s="90">
        <f>INDEX('Revised 2019 Lockdown'!H$5:H$257,MATCH(B37,'Revised 2019 Lockdown'!B$5:B$257,0))</f>
        <v>5551.27</v>
      </c>
      <c r="F37" s="7">
        <f>INDEX('Revised 2019 Lockdown'!E$5:E$257,MATCH(B37,'Revised 2019 Lockdown'!B$5:B$257,0))</f>
        <v>3050653.27</v>
      </c>
      <c r="G37" s="7">
        <f>INDEX('Revised 2019 Lockdown'!F$5:F$257,MATCH(B37,'Revised 2019 Lockdown'!B$5:B$257,0))</f>
        <v>210627.25999999998</v>
      </c>
      <c r="H37" s="7">
        <f t="shared" si="4"/>
        <v>2840026.0100000002</v>
      </c>
      <c r="I37" s="6">
        <f t="shared" si="0"/>
        <v>511.59932952279388</v>
      </c>
      <c r="J37" s="6">
        <f t="shared" si="5"/>
        <v>511.59932952279388</v>
      </c>
      <c r="K37" s="5">
        <f t="shared" si="1"/>
        <v>2840026.0100000002</v>
      </c>
      <c r="L37" s="4">
        <f t="shared" si="2"/>
        <v>0</v>
      </c>
      <c r="M37" s="2" cm="1">
        <f t="array" ref="M37">SUMPRODUCT(--($L$6:$L$300&lt;&gt;1),--($C$6:$C$300=$C37),$H$6:$H$300)/SUMPRODUCT(--($L$6:$L$300&lt;&gt;1),--($C$6:$C$300=$C37),$E$6:$E$300)</f>
        <v>491.35283770199663</v>
      </c>
      <c r="N37" s="1" cm="1">
        <f t="array" ref="N37">SUMPRODUCT(--($L$6:$L$300&lt;&gt;1),--($C$6:$C$300=$C37))</f>
        <v>15</v>
      </c>
      <c r="O37" s="3">
        <f t="shared" si="6"/>
        <v>409.92043104960976</v>
      </c>
      <c r="P37" s="2" cm="1">
        <f t="array" ref="P37">SQRT(SUMPRODUCT(--($L$6:$L$300&lt;&gt;1),--($C$6:$C$300=$C37),$E$6:$E$300,$O$6:$O$300)/((N37-1)*SUMPRODUCT(--($L$6:$L$300&lt;&gt;1),--($C$6:$C$300=$C37),$E$6:$E$300)/N37))</f>
        <v>160.16425937277282</v>
      </c>
      <c r="Q37" s="2">
        <f t="shared" si="3"/>
        <v>286.09408035852817</v>
      </c>
      <c r="R37" s="2">
        <f t="shared" si="3"/>
        <v>696.61159504546504</v>
      </c>
      <c r="S37" s="2">
        <f t="shared" si="7"/>
        <v>511.59932952279388</v>
      </c>
    </row>
    <row r="38" spans="2:19" x14ac:dyDescent="0.35">
      <c r="B38">
        <v>760</v>
      </c>
      <c r="C38" s="17">
        <v>4</v>
      </c>
      <c r="D38" s="22" t="s">
        <v>62</v>
      </c>
      <c r="E38" s="90">
        <f>INDEX('Revised 2019 Lockdown'!H$5:H$257,MATCH(B38,'Revised 2019 Lockdown'!B$5:B$257,0))</f>
        <v>5012.8599999999997</v>
      </c>
      <c r="F38" s="7">
        <f>INDEX('Revised 2019 Lockdown'!E$5:E$257,MATCH(B38,'Revised 2019 Lockdown'!B$5:B$257,0))</f>
        <v>1509097.88</v>
      </c>
      <c r="G38" s="7">
        <f>INDEX('Revised 2019 Lockdown'!F$5:F$257,MATCH(B38,'Revised 2019 Lockdown'!B$5:B$257,0))</f>
        <v>554553.47</v>
      </c>
      <c r="H38" s="7">
        <f t="shared" si="4"/>
        <v>954544.40999999992</v>
      </c>
      <c r="I38" s="6">
        <f t="shared" si="0"/>
        <v>190.41912401303847</v>
      </c>
      <c r="J38" s="6">
        <f t="shared" si="5"/>
        <v>190.41912401303847</v>
      </c>
      <c r="K38" s="5">
        <f t="shared" si="1"/>
        <v>954544.40999999992</v>
      </c>
      <c r="L38" s="4">
        <f t="shared" si="2"/>
        <v>0</v>
      </c>
      <c r="M38" s="2" cm="1">
        <f t="array" ref="M38">SUMPRODUCT(--($L$6:$L$300&lt;&gt;1),--($C$6:$C$300=$C38),$H$6:$H$300)/SUMPRODUCT(--($L$6:$L$300&lt;&gt;1),--($C$6:$C$300=$C38),$E$6:$E$300)</f>
        <v>491.35283770199663</v>
      </c>
      <c r="N38" s="1" cm="1">
        <f t="array" ref="N38">SUMPRODUCT(--($L$6:$L$300&lt;&gt;1),--($C$6:$C$300=$C38))</f>
        <v>15</v>
      </c>
      <c r="O38" s="3">
        <f t="shared" si="6"/>
        <v>90561.100034627845</v>
      </c>
      <c r="P38" s="2" cm="1">
        <f t="array" ref="P38">SQRT(SUMPRODUCT(--($L$6:$L$300&lt;&gt;1),--($C$6:$C$300=$C38),$E$6:$E$300,$O$6:$O$300)/((N38-1)*SUMPRODUCT(--($L$6:$L$300&lt;&gt;1),--($C$6:$C$300=$C38),$E$6:$E$300)/N38))</f>
        <v>160.16425937277282</v>
      </c>
      <c r="Q38" s="2">
        <f t="shared" si="3"/>
        <v>286.09408035852817</v>
      </c>
      <c r="R38" s="2">
        <f t="shared" si="3"/>
        <v>696.61159504546504</v>
      </c>
      <c r="S38" s="2">
        <f t="shared" si="7"/>
        <v>286.09408035852817</v>
      </c>
    </row>
    <row r="39" spans="2:19" x14ac:dyDescent="0.35">
      <c r="B39">
        <v>878</v>
      </c>
      <c r="C39" s="17">
        <v>4</v>
      </c>
      <c r="D39" s="22" t="s">
        <v>345</v>
      </c>
      <c r="E39" s="90">
        <f>INDEX('Revised 2019 Lockdown'!H$5:H$257,MATCH(B39,'Revised 2019 Lockdown'!B$5:B$257,0))</f>
        <v>7393.5</v>
      </c>
      <c r="F39" s="7">
        <f>INDEX('Revised 2019 Lockdown'!E$5:E$257,MATCH(B39,'Revised 2019 Lockdown'!B$5:B$257,0))</f>
        <v>3017896.76</v>
      </c>
      <c r="G39" s="7">
        <f>INDEX('Revised 2019 Lockdown'!F$5:F$257,MATCH(B39,'Revised 2019 Lockdown'!B$5:B$257,0))</f>
        <v>419431.65</v>
      </c>
      <c r="H39" s="7">
        <f t="shared" si="4"/>
        <v>2598465.11</v>
      </c>
      <c r="I39" s="6">
        <f t="shared" si="0"/>
        <v>351.45264218570367</v>
      </c>
      <c r="J39" s="6">
        <f t="shared" si="5"/>
        <v>351.45264218570367</v>
      </c>
      <c r="K39" s="5">
        <f t="shared" si="1"/>
        <v>2598465.11</v>
      </c>
      <c r="L39" s="4">
        <f t="shared" si="2"/>
        <v>0</v>
      </c>
      <c r="M39" s="2" cm="1">
        <f t="array" ref="M39">SUMPRODUCT(--($L$6:$L$300&lt;&gt;1),--($C$6:$C$300=$C39),$H$6:$H$300)/SUMPRODUCT(--($L$6:$L$300&lt;&gt;1),--($C$6:$C$300=$C39),$E$6:$E$300)</f>
        <v>491.35283770199663</v>
      </c>
      <c r="N39" s="1" cm="1">
        <f t="array" ref="N39">SUMPRODUCT(--($L$6:$L$300&lt;&gt;1),--($C$6:$C$300=$C39))</f>
        <v>15</v>
      </c>
      <c r="O39" s="3">
        <f t="shared" si="6"/>
        <v>19572.064705497</v>
      </c>
      <c r="P39" s="2" cm="1">
        <f t="array" ref="P39">SQRT(SUMPRODUCT(--($L$6:$L$300&lt;&gt;1),--($C$6:$C$300=$C39),$E$6:$E$300,$O$6:$O$300)/((N39-1)*SUMPRODUCT(--($L$6:$L$300&lt;&gt;1),--($C$6:$C$300=$C39),$E$6:$E$300)/N39))</f>
        <v>160.16425937277282</v>
      </c>
      <c r="Q39" s="2">
        <f t="shared" si="3"/>
        <v>286.09408035852817</v>
      </c>
      <c r="R39" s="2">
        <f t="shared" si="3"/>
        <v>696.61159504546504</v>
      </c>
      <c r="S39" s="2">
        <f t="shared" si="7"/>
        <v>351.45264218570367</v>
      </c>
    </row>
    <row r="40" spans="2:19" x14ac:dyDescent="0.35">
      <c r="B40">
        <v>8</v>
      </c>
      <c r="C40" s="17">
        <v>5</v>
      </c>
      <c r="D40" s="22" t="s">
        <v>64</v>
      </c>
      <c r="E40" s="90">
        <f>INDEX('Revised 2019 Lockdown'!H$5:H$257,MATCH(B40,'Revised 2019 Lockdown'!B$5:B$257,0))</f>
        <v>2075.63</v>
      </c>
      <c r="F40" s="7">
        <f>INDEX('Revised 2019 Lockdown'!E$5:E$257,MATCH(B40,'Revised 2019 Lockdown'!B$5:B$257,0))</f>
        <v>864369.87</v>
      </c>
      <c r="G40" s="7">
        <f>INDEX('Revised 2019 Lockdown'!F$5:F$257,MATCH(B40,'Revised 2019 Lockdown'!B$5:B$257,0))</f>
        <v>93052.72</v>
      </c>
      <c r="H40" s="7">
        <f t="shared" si="4"/>
        <v>771317.15</v>
      </c>
      <c r="I40" s="6">
        <f t="shared" si="0"/>
        <v>371.60628339347574</v>
      </c>
      <c r="J40" s="6">
        <f t="shared" si="5"/>
        <v>371.60628339347574</v>
      </c>
      <c r="K40" s="5">
        <f t="shared" si="1"/>
        <v>771317.15</v>
      </c>
      <c r="L40" s="4">
        <f t="shared" si="2"/>
        <v>0</v>
      </c>
      <c r="M40" s="2" cm="1">
        <f t="array" ref="M40">SUMPRODUCT(--($L$6:$L$300&lt;&gt;1),--($C$6:$C$300=$C40),$H$6:$H$300)/SUMPRODUCT(--($L$6:$L$300&lt;&gt;1),--($C$6:$C$300=$C40),$E$6:$E$300)</f>
        <v>347.83707023257591</v>
      </c>
      <c r="N40" s="1" cm="1">
        <f t="array" ref="N40">SUMPRODUCT(--($L$6:$L$300&lt;&gt;1),--($C$6:$C$300=$C40))</f>
        <v>21</v>
      </c>
      <c r="O40" s="3">
        <f t="shared" si="6"/>
        <v>564.97549428829336</v>
      </c>
      <c r="P40" s="2" cm="1">
        <f t="array" ref="P40">SQRT(SUMPRODUCT(--($L$6:$L$300&lt;&gt;1),--($C$6:$C$300=$C40),$E$6:$E$300,$O$6:$O$300)/((N40-1)*SUMPRODUCT(--($L$6:$L$300&lt;&gt;1),--($C$6:$C$300=$C40),$E$6:$E$300)/N40))</f>
        <v>148.32112101908572</v>
      </c>
      <c r="Q40" s="2">
        <f t="shared" si="3"/>
        <v>157.75590538723642</v>
      </c>
      <c r="R40" s="2">
        <f t="shared" si="3"/>
        <v>537.91823507791537</v>
      </c>
      <c r="S40" s="2">
        <f t="shared" si="7"/>
        <v>371.60628339347574</v>
      </c>
    </row>
    <row r="41" spans="2:19" x14ac:dyDescent="0.35">
      <c r="B41">
        <v>41</v>
      </c>
      <c r="C41" s="17">
        <v>5</v>
      </c>
      <c r="D41" s="22" t="s">
        <v>65</v>
      </c>
      <c r="E41" s="90">
        <f>INDEX('Revised 2019 Lockdown'!H$5:H$257,MATCH(B41,'Revised 2019 Lockdown'!B$5:B$257,0))</f>
        <v>993.22</v>
      </c>
      <c r="F41" s="7">
        <f>INDEX('Revised 2019 Lockdown'!E$5:E$257,MATCH(B41,'Revised 2019 Lockdown'!B$5:B$257,0))</f>
        <v>598036.62</v>
      </c>
      <c r="G41" s="7">
        <f>INDEX('Revised 2019 Lockdown'!F$5:F$257,MATCH(B41,'Revised 2019 Lockdown'!B$5:B$257,0))</f>
        <v>171251.26000000004</v>
      </c>
      <c r="H41" s="7">
        <f t="shared" si="4"/>
        <v>426785.36</v>
      </c>
      <c r="I41" s="6">
        <f t="shared" si="0"/>
        <v>429.69871730331647</v>
      </c>
      <c r="J41" s="6">
        <f t="shared" si="5"/>
        <v>429.69871730331647</v>
      </c>
      <c r="K41" s="5">
        <f t="shared" si="1"/>
        <v>426785.36</v>
      </c>
      <c r="L41" s="4">
        <f t="shared" si="2"/>
        <v>0</v>
      </c>
      <c r="M41" s="2" cm="1">
        <f t="array" ref="M41">SUMPRODUCT(--($L$6:$L$300&lt;&gt;1),--($C$6:$C$300=$C41),$H$6:$H$300)/SUMPRODUCT(--($L$6:$L$300&lt;&gt;1),--($C$6:$C$300=$C41),$E$6:$E$300)</f>
        <v>347.83707023257591</v>
      </c>
      <c r="N41" s="1" cm="1">
        <f t="array" ref="N41">SUMPRODUCT(--($L$6:$L$300&lt;&gt;1),--($C$6:$C$300=$C41))</f>
        <v>21</v>
      </c>
      <c r="O41" s="3">
        <f t="shared" si="6"/>
        <v>6701.3292611344868</v>
      </c>
      <c r="P41" s="2" cm="1">
        <f t="array" ref="P41">SQRT(SUMPRODUCT(--($L$6:$L$300&lt;&gt;1),--($C$6:$C$300=$C41),$E$6:$E$300,$O$6:$O$300)/((N41-1)*SUMPRODUCT(--($L$6:$L$300&lt;&gt;1),--($C$6:$C$300=$C41),$E$6:$E$300)/N41))</f>
        <v>148.32112101908572</v>
      </c>
      <c r="Q41" s="2">
        <f t="shared" si="3"/>
        <v>157.75590538723642</v>
      </c>
      <c r="R41" s="2">
        <f t="shared" si="3"/>
        <v>537.91823507791537</v>
      </c>
      <c r="S41" s="2">
        <f t="shared" si="7"/>
        <v>429.69871730331647</v>
      </c>
    </row>
    <row r="42" spans="2:19" x14ac:dyDescent="0.35">
      <c r="B42">
        <v>56</v>
      </c>
      <c r="C42" s="17">
        <v>5</v>
      </c>
      <c r="D42" s="22" t="s">
        <v>66</v>
      </c>
      <c r="E42" s="90">
        <f>INDEX('Revised 2019 Lockdown'!H$5:H$257,MATCH(B42,'Revised 2019 Lockdown'!B$5:B$257,0))</f>
        <v>2867.28</v>
      </c>
      <c r="F42" s="7">
        <f>INDEX('Revised 2019 Lockdown'!E$5:E$257,MATCH(B42,'Revised 2019 Lockdown'!B$5:B$257,0))</f>
        <v>572395.97</v>
      </c>
      <c r="G42" s="7">
        <f>INDEX('Revised 2019 Lockdown'!F$5:F$257,MATCH(B42,'Revised 2019 Lockdown'!B$5:B$257,0))</f>
        <v>2299.3900000000003</v>
      </c>
      <c r="H42" s="7">
        <f t="shared" si="4"/>
        <v>570096.57999999996</v>
      </c>
      <c r="I42" s="6">
        <f t="shared" si="0"/>
        <v>198.82835997879522</v>
      </c>
      <c r="J42" s="6">
        <f t="shared" si="5"/>
        <v>198.82835997879522</v>
      </c>
      <c r="K42" s="5">
        <f t="shared" si="1"/>
        <v>570096.57999999996</v>
      </c>
      <c r="L42" s="4">
        <f t="shared" si="2"/>
        <v>0</v>
      </c>
      <c r="M42" s="2" cm="1">
        <f t="array" ref="M42">SUMPRODUCT(--($L$6:$L$300&lt;&gt;1),--($C$6:$C$300=$C42),$H$6:$H$300)/SUMPRODUCT(--($L$6:$L$300&lt;&gt;1),--($C$6:$C$300=$C42),$E$6:$E$300)</f>
        <v>347.83707023257591</v>
      </c>
      <c r="N42" s="1" cm="1">
        <f t="array" ref="N42">SUMPRODUCT(--($L$6:$L$300&lt;&gt;1),--($C$6:$C$300=$C42))</f>
        <v>21</v>
      </c>
      <c r="O42" s="3">
        <f t="shared" si="6"/>
        <v>22203.595731495167</v>
      </c>
      <c r="P42" s="2" cm="1">
        <f t="array" ref="P42">SQRT(SUMPRODUCT(--($L$6:$L$300&lt;&gt;1),--($C$6:$C$300=$C42),$E$6:$E$300,$O$6:$O$300)/((N42-1)*SUMPRODUCT(--($L$6:$L$300&lt;&gt;1),--($C$6:$C$300=$C42),$E$6:$E$300)/N42))</f>
        <v>148.32112101908572</v>
      </c>
      <c r="Q42" s="2">
        <f t="shared" si="3"/>
        <v>157.75590538723642</v>
      </c>
      <c r="R42" s="2">
        <f t="shared" si="3"/>
        <v>537.91823507791537</v>
      </c>
      <c r="S42" s="2">
        <f t="shared" si="7"/>
        <v>198.82835997879522</v>
      </c>
    </row>
    <row r="43" spans="2:19" x14ac:dyDescent="0.35">
      <c r="B43">
        <v>67</v>
      </c>
      <c r="C43" s="17">
        <v>5</v>
      </c>
      <c r="D43" s="22" t="s">
        <v>67</v>
      </c>
      <c r="E43" s="90">
        <f>INDEX('Revised 2019 Lockdown'!H$5:H$257,MATCH(B43,'Revised 2019 Lockdown'!B$5:B$257,0))</f>
        <v>1347.1733959092533</v>
      </c>
      <c r="F43" s="7">
        <f>INDEX('Revised 2019 Lockdown'!E$5:E$257,MATCH(B43,'Revised 2019 Lockdown'!B$5:B$257,0))</f>
        <v>207963.68</v>
      </c>
      <c r="G43" s="7">
        <f>INDEX('Revised 2019 Lockdown'!F$5:F$257,MATCH(B43,'Revised 2019 Lockdown'!B$5:B$257,0))</f>
        <v>0</v>
      </c>
      <c r="H43" s="7">
        <f t="shared" si="4"/>
        <v>207963.68</v>
      </c>
      <c r="I43" s="6">
        <f t="shared" si="0"/>
        <v>154.37038812634674</v>
      </c>
      <c r="J43" s="6">
        <f t="shared" si="5"/>
        <v>154.37038812634674</v>
      </c>
      <c r="K43" s="5">
        <f t="shared" si="1"/>
        <v>207963.68</v>
      </c>
      <c r="L43" s="4">
        <f t="shared" si="2"/>
        <v>0</v>
      </c>
      <c r="M43" s="2" cm="1">
        <f t="array" ref="M43">SUMPRODUCT(--($L$6:$L$300&lt;&gt;1),--($C$6:$C$300=$C43),$H$6:$H$300)/SUMPRODUCT(--($L$6:$L$300&lt;&gt;1),--($C$6:$C$300=$C43),$E$6:$E$300)</f>
        <v>347.83707023257591</v>
      </c>
      <c r="N43" s="1" cm="1">
        <f t="array" ref="N43">SUMPRODUCT(--($L$6:$L$300&lt;&gt;1),--($C$6:$C$300=$C43))</f>
        <v>21</v>
      </c>
      <c r="O43" s="3">
        <f t="shared" si="6"/>
        <v>37429.357085192736</v>
      </c>
      <c r="P43" s="2" cm="1">
        <f t="array" ref="P43">SQRT(SUMPRODUCT(--($L$6:$L$300&lt;&gt;1),--($C$6:$C$300=$C43),$E$6:$E$300,$O$6:$O$300)/((N43-1)*SUMPRODUCT(--($L$6:$L$300&lt;&gt;1),--($C$6:$C$300=$C43),$E$6:$E$300)/N43))</f>
        <v>148.32112101908572</v>
      </c>
      <c r="Q43" s="2">
        <f t="shared" si="3"/>
        <v>157.75590538723642</v>
      </c>
      <c r="R43" s="2">
        <f t="shared" si="3"/>
        <v>537.91823507791537</v>
      </c>
      <c r="S43" s="2">
        <f t="shared" si="7"/>
        <v>157.75590538723642</v>
      </c>
    </row>
    <row r="44" spans="2:19" x14ac:dyDescent="0.35">
      <c r="B44">
        <v>157</v>
      </c>
      <c r="C44" s="17">
        <v>5</v>
      </c>
      <c r="D44" s="22" t="s">
        <v>68</v>
      </c>
      <c r="E44" s="90">
        <f>INDEX('Revised 2019 Lockdown'!H$5:H$257,MATCH(B44,'Revised 2019 Lockdown'!B$5:B$257,0))</f>
        <v>391.46461159743643</v>
      </c>
      <c r="F44" s="7">
        <f>INDEX('Revised 2019 Lockdown'!E$5:E$257,MATCH(B44,'Revised 2019 Lockdown'!B$5:B$257,0))</f>
        <v>154392.98000000001</v>
      </c>
      <c r="G44" s="7">
        <f>INDEX('Revised 2019 Lockdown'!F$5:F$257,MATCH(B44,'Revised 2019 Lockdown'!B$5:B$257,0))</f>
        <v>250</v>
      </c>
      <c r="H44" s="7">
        <f t="shared" si="4"/>
        <v>154142.98000000001</v>
      </c>
      <c r="I44" s="6">
        <f t="shared" si="0"/>
        <v>393.75967950460182</v>
      </c>
      <c r="J44" s="6">
        <f t="shared" si="5"/>
        <v>393.75967950460182</v>
      </c>
      <c r="K44" s="5">
        <f t="shared" si="1"/>
        <v>154142.98000000001</v>
      </c>
      <c r="L44" s="4">
        <f t="shared" si="2"/>
        <v>0</v>
      </c>
      <c r="M44" s="2" cm="1">
        <f t="array" ref="M44">SUMPRODUCT(--($L$6:$L$300&lt;&gt;1),--($C$6:$C$300=$C44),$H$6:$H$300)/SUMPRODUCT(--($L$6:$L$300&lt;&gt;1),--($C$6:$C$300=$C44),$E$6:$E$300)</f>
        <v>347.83707023257591</v>
      </c>
      <c r="N44" s="1" cm="1">
        <f t="array" ref="N44">SUMPRODUCT(--($L$6:$L$300&lt;&gt;1),--($C$6:$C$300=$C44))</f>
        <v>21</v>
      </c>
      <c r="O44" s="3">
        <f t="shared" si="6"/>
        <v>2108.8860423511601</v>
      </c>
      <c r="P44" s="2" cm="1">
        <f t="array" ref="P44">SQRT(SUMPRODUCT(--($L$6:$L$300&lt;&gt;1),--($C$6:$C$300=$C44),$E$6:$E$300,$O$6:$O$300)/((N44-1)*SUMPRODUCT(--($L$6:$L$300&lt;&gt;1),--($C$6:$C$300=$C44),$E$6:$E$300)/N44))</f>
        <v>148.32112101908572</v>
      </c>
      <c r="Q44" s="2">
        <f t="shared" si="3"/>
        <v>157.75590538723642</v>
      </c>
      <c r="R44" s="2">
        <f t="shared" si="3"/>
        <v>537.91823507791537</v>
      </c>
      <c r="S44" s="2">
        <f t="shared" si="7"/>
        <v>393.75967950460182</v>
      </c>
    </row>
    <row r="45" spans="2:19" x14ac:dyDescent="0.35">
      <c r="B45">
        <v>214</v>
      </c>
      <c r="C45" s="17">
        <v>5</v>
      </c>
      <c r="D45" s="22" t="s">
        <v>69</v>
      </c>
      <c r="E45" s="90">
        <f>INDEX('Revised 2019 Lockdown'!H$5:H$257,MATCH(B45,'Revised 2019 Lockdown'!B$5:B$257,0))</f>
        <v>2751.6000000000004</v>
      </c>
      <c r="F45" s="7">
        <f>INDEX('Revised 2019 Lockdown'!E$5:E$257,MATCH(B45,'Revised 2019 Lockdown'!B$5:B$257,0))</f>
        <v>1755275.05</v>
      </c>
      <c r="G45" s="7">
        <f>INDEX('Revised 2019 Lockdown'!F$5:F$257,MATCH(B45,'Revised 2019 Lockdown'!B$5:B$257,0))</f>
        <v>255085.94</v>
      </c>
      <c r="H45" s="7">
        <f t="shared" si="4"/>
        <v>1500189.11</v>
      </c>
      <c r="I45" s="6">
        <f t="shared" si="0"/>
        <v>545.2061019043465</v>
      </c>
      <c r="J45" s="6">
        <f t="shared" si="5"/>
        <v>537.91823507791537</v>
      </c>
      <c r="K45" s="5">
        <f t="shared" si="1"/>
        <v>1480135.815640392</v>
      </c>
      <c r="L45" s="4">
        <f t="shared" si="2"/>
        <v>0</v>
      </c>
      <c r="M45" s="2" cm="1">
        <f t="array" ref="M45">SUMPRODUCT(--($L$6:$L$300&lt;&gt;1),--($C$6:$C$300=$C45),$H$6:$H$300)/SUMPRODUCT(--($L$6:$L$300&lt;&gt;1),--($C$6:$C$300=$C45),$E$6:$E$300)</f>
        <v>347.83707023257591</v>
      </c>
      <c r="N45" s="1" cm="1">
        <f t="array" ref="N45">SUMPRODUCT(--($L$6:$L$300&lt;&gt;1),--($C$6:$C$300=$C45))</f>
        <v>21</v>
      </c>
      <c r="O45" s="3">
        <f t="shared" si="6"/>
        <v>38954.534663052378</v>
      </c>
      <c r="P45" s="2" cm="1">
        <f t="array" ref="P45">SQRT(SUMPRODUCT(--($L$6:$L$300&lt;&gt;1),--($C$6:$C$300=$C45),$E$6:$E$300,$O$6:$O$300)/((N45-1)*SUMPRODUCT(--($L$6:$L$300&lt;&gt;1),--($C$6:$C$300=$C45),$E$6:$E$300)/N45))</f>
        <v>148.32112101908572</v>
      </c>
      <c r="Q45" s="2">
        <f t="shared" si="3"/>
        <v>157.75590538723642</v>
      </c>
      <c r="R45" s="2">
        <f t="shared" si="3"/>
        <v>537.91823507791537</v>
      </c>
      <c r="S45" s="2">
        <f t="shared" si="7"/>
        <v>537.91823507791537</v>
      </c>
    </row>
    <row r="46" spans="2:19" x14ac:dyDescent="0.35">
      <c r="B46">
        <v>223</v>
      </c>
      <c r="C46" s="17">
        <v>5</v>
      </c>
      <c r="D46" s="22" t="s">
        <v>70</v>
      </c>
      <c r="E46" s="90">
        <f>INDEX('Revised 2019 Lockdown'!H$5:H$257,MATCH(B46,'Revised 2019 Lockdown'!B$5:B$257,0))</f>
        <v>273.99</v>
      </c>
      <c r="F46" s="7">
        <f>INDEX('Revised 2019 Lockdown'!E$5:E$257,MATCH(B46,'Revised 2019 Lockdown'!B$5:B$257,0))</f>
        <v>230639.28</v>
      </c>
      <c r="G46" s="7">
        <f>INDEX('Revised 2019 Lockdown'!F$5:F$257,MATCH(B46,'Revised 2019 Lockdown'!B$5:B$257,0))</f>
        <v>800.41</v>
      </c>
      <c r="H46" s="7">
        <f t="shared" si="4"/>
        <v>229838.87</v>
      </c>
      <c r="I46" s="6">
        <f t="shared" si="0"/>
        <v>838.85860797839337</v>
      </c>
      <c r="J46" s="6">
        <f t="shared" si="5"/>
        <v>537.91823507791537</v>
      </c>
      <c r="K46" s="5">
        <f t="shared" si="1"/>
        <v>147384.21722899802</v>
      </c>
      <c r="L46" s="4">
        <f t="shared" si="2"/>
        <v>0</v>
      </c>
      <c r="M46" s="2" cm="1">
        <f t="array" ref="M46">SUMPRODUCT(--($L$6:$L$300&lt;&gt;1),--($C$6:$C$300=$C46),$H$6:$H$300)/SUMPRODUCT(--($L$6:$L$300&lt;&gt;1),--($C$6:$C$300=$C46),$E$6:$E$300)</f>
        <v>347.83707023257591</v>
      </c>
      <c r="N46" s="1" cm="1">
        <f t="array" ref="N46">SUMPRODUCT(--($L$6:$L$300&lt;&gt;1),--($C$6:$C$300=$C46))</f>
        <v>21</v>
      </c>
      <c r="O46" s="3">
        <f t="shared" si="6"/>
        <v>241102.15053026724</v>
      </c>
      <c r="P46" s="2" cm="1">
        <f t="array" ref="P46">SQRT(SUMPRODUCT(--($L$6:$L$300&lt;&gt;1),--($C$6:$C$300=$C46),$E$6:$E$300,$O$6:$O$300)/((N46-1)*SUMPRODUCT(--($L$6:$L$300&lt;&gt;1),--($C$6:$C$300=$C46),$E$6:$E$300)/N46))</f>
        <v>148.32112101908572</v>
      </c>
      <c r="Q46" s="2">
        <f t="shared" si="3"/>
        <v>157.75590538723642</v>
      </c>
      <c r="R46" s="2">
        <f t="shared" si="3"/>
        <v>537.91823507791537</v>
      </c>
      <c r="S46" s="2">
        <f t="shared" si="7"/>
        <v>537.91823507791537</v>
      </c>
    </row>
    <row r="47" spans="2:19" x14ac:dyDescent="0.35">
      <c r="B47">
        <v>224</v>
      </c>
      <c r="C47" s="17">
        <v>5</v>
      </c>
      <c r="D47" s="22" t="s">
        <v>71</v>
      </c>
      <c r="E47" s="90">
        <f>INDEX('Revised 2019 Lockdown'!H$5:H$257,MATCH(B47,'Revised 2019 Lockdown'!B$5:B$257,0))</f>
        <v>196.82810451351673</v>
      </c>
      <c r="F47" s="7">
        <f>INDEX('Revised 2019 Lockdown'!E$5:E$257,MATCH(B47,'Revised 2019 Lockdown'!B$5:B$257,0))</f>
        <v>77631.63</v>
      </c>
      <c r="G47" s="7">
        <f>INDEX('Revised 2019 Lockdown'!F$5:F$257,MATCH(B47,'Revised 2019 Lockdown'!B$5:B$257,0))</f>
        <v>210</v>
      </c>
      <c r="H47" s="7">
        <f t="shared" si="4"/>
        <v>77421.63</v>
      </c>
      <c r="I47" s="6">
        <f t="shared" si="0"/>
        <v>393.34641864969666</v>
      </c>
      <c r="J47" s="6">
        <f t="shared" si="5"/>
        <v>393.34641864969666</v>
      </c>
      <c r="K47" s="5">
        <f t="shared" si="1"/>
        <v>77421.63</v>
      </c>
      <c r="L47" s="4">
        <f t="shared" si="2"/>
        <v>0</v>
      </c>
      <c r="M47" s="2" cm="1">
        <f t="array" ref="M47">SUMPRODUCT(--($L$6:$L$300&lt;&gt;1),--($C$6:$C$300=$C47),$H$6:$H$300)/SUMPRODUCT(--($L$6:$L$300&lt;&gt;1),--($C$6:$C$300=$C47),$E$6:$E$300)</f>
        <v>347.83707023257591</v>
      </c>
      <c r="N47" s="1" cm="1">
        <f t="array" ref="N47">SUMPRODUCT(--($L$6:$L$300&lt;&gt;1),--($C$6:$C$300=$C47))</f>
        <v>21</v>
      </c>
      <c r="O47" s="3">
        <f t="shared" si="6"/>
        <v>2071.1007933508909</v>
      </c>
      <c r="P47" s="2" cm="1">
        <f t="array" ref="P47">SQRT(SUMPRODUCT(--($L$6:$L$300&lt;&gt;1),--($C$6:$C$300=$C47),$E$6:$E$300,$O$6:$O$300)/((N47-1)*SUMPRODUCT(--($L$6:$L$300&lt;&gt;1),--($C$6:$C$300=$C47),$E$6:$E$300)/N47))</f>
        <v>148.32112101908572</v>
      </c>
      <c r="Q47" s="2">
        <f t="shared" si="3"/>
        <v>157.75590538723642</v>
      </c>
      <c r="R47" s="2">
        <f t="shared" si="3"/>
        <v>537.91823507791537</v>
      </c>
      <c r="S47" s="2">
        <f t="shared" si="7"/>
        <v>393.34641864969666</v>
      </c>
    </row>
    <row r="48" spans="2:19" x14ac:dyDescent="0.35">
      <c r="B48">
        <v>233</v>
      </c>
      <c r="C48" s="17">
        <v>5</v>
      </c>
      <c r="D48" s="22" t="s">
        <v>72</v>
      </c>
      <c r="E48" s="90">
        <f>INDEX('Revised 2019 Lockdown'!H$5:H$257,MATCH(B48,'Revised 2019 Lockdown'!B$5:B$257,0))</f>
        <v>2130.7600000000002</v>
      </c>
      <c r="F48" s="7">
        <f>INDEX('Revised 2019 Lockdown'!E$5:E$257,MATCH(B48,'Revised 2019 Lockdown'!B$5:B$257,0))</f>
        <v>703293.56</v>
      </c>
      <c r="G48" s="7">
        <f>INDEX('Revised 2019 Lockdown'!F$5:F$257,MATCH(B48,'Revised 2019 Lockdown'!B$5:B$257,0))</f>
        <v>171134.77</v>
      </c>
      <c r="H48" s="7">
        <f t="shared" si="4"/>
        <v>532158.79</v>
      </c>
      <c r="I48" s="6">
        <f t="shared" si="0"/>
        <v>249.7506945878466</v>
      </c>
      <c r="J48" s="6">
        <f t="shared" si="5"/>
        <v>249.7506945878466</v>
      </c>
      <c r="K48" s="5">
        <f t="shared" si="1"/>
        <v>532158.79</v>
      </c>
      <c r="L48" s="4">
        <f t="shared" si="2"/>
        <v>0</v>
      </c>
      <c r="M48" s="2" cm="1">
        <f t="array" ref="M48">SUMPRODUCT(--($L$6:$L$300&lt;&gt;1),--($C$6:$C$300=$C48),$H$6:$H$300)/SUMPRODUCT(--($L$6:$L$300&lt;&gt;1),--($C$6:$C$300=$C48),$E$6:$E$300)</f>
        <v>347.83707023257591</v>
      </c>
      <c r="N48" s="1" cm="1">
        <f t="array" ref="N48">SUMPRODUCT(--($L$6:$L$300&lt;&gt;1),--($C$6:$C$300=$C48))</f>
        <v>21</v>
      </c>
      <c r="O48" s="3">
        <f t="shared" si="6"/>
        <v>9620.9370871189476</v>
      </c>
      <c r="P48" s="2" cm="1">
        <f t="array" ref="P48">SQRT(SUMPRODUCT(--($L$6:$L$300&lt;&gt;1),--($C$6:$C$300=$C48),$E$6:$E$300,$O$6:$O$300)/((N48-1)*SUMPRODUCT(--($L$6:$L$300&lt;&gt;1),--($C$6:$C$300=$C48),$E$6:$E$300)/N48))</f>
        <v>148.32112101908572</v>
      </c>
      <c r="Q48" s="2">
        <f t="shared" si="3"/>
        <v>157.75590538723642</v>
      </c>
      <c r="R48" s="2">
        <f t="shared" si="3"/>
        <v>537.91823507791537</v>
      </c>
      <c r="S48" s="2">
        <f t="shared" si="7"/>
        <v>249.7506945878466</v>
      </c>
    </row>
    <row r="49" spans="2:19" x14ac:dyDescent="0.35">
      <c r="B49">
        <v>272</v>
      </c>
      <c r="C49" s="17">
        <v>5</v>
      </c>
      <c r="D49" s="22" t="s">
        <v>73</v>
      </c>
      <c r="E49" s="90">
        <f>INDEX('Revised 2019 Lockdown'!H$5:H$257,MATCH(B49,'Revised 2019 Lockdown'!B$5:B$257,0))</f>
        <v>311.79011619626056</v>
      </c>
      <c r="F49" s="7">
        <f>INDEX('Revised 2019 Lockdown'!E$5:E$257,MATCH(B49,'Revised 2019 Lockdown'!B$5:B$257,0))</f>
        <v>96048.45</v>
      </c>
      <c r="G49" s="7">
        <f>INDEX('Revised 2019 Lockdown'!F$5:F$257,MATCH(B49,'Revised 2019 Lockdown'!B$5:B$257,0))</f>
        <v>0</v>
      </c>
      <c r="H49" s="7">
        <f t="shared" si="4"/>
        <v>96048.45</v>
      </c>
      <c r="I49" s="6">
        <f t="shared" si="0"/>
        <v>308.05482602130013</v>
      </c>
      <c r="J49" s="6">
        <f t="shared" si="5"/>
        <v>308.05482602130013</v>
      </c>
      <c r="K49" s="5">
        <f t="shared" si="1"/>
        <v>96048.45</v>
      </c>
      <c r="L49" s="4">
        <f t="shared" si="2"/>
        <v>0</v>
      </c>
      <c r="M49" s="2" cm="1">
        <f t="array" ref="M49">SUMPRODUCT(--($L$6:$L$300&lt;&gt;1),--($C$6:$C$300=$C49),$H$6:$H$300)/SUMPRODUCT(--($L$6:$L$300&lt;&gt;1),--($C$6:$C$300=$C49),$E$6:$E$300)</f>
        <v>347.83707023257591</v>
      </c>
      <c r="N49" s="1" cm="1">
        <f t="array" ref="N49">SUMPRODUCT(--($L$6:$L$300&lt;&gt;1),--($C$6:$C$300=$C49))</f>
        <v>21</v>
      </c>
      <c r="O49" s="3">
        <f t="shared" si="6"/>
        <v>1582.6269544855854</v>
      </c>
      <c r="P49" s="2" cm="1">
        <f t="array" ref="P49">SQRT(SUMPRODUCT(--($L$6:$L$300&lt;&gt;1),--($C$6:$C$300=$C49),$E$6:$E$300,$O$6:$O$300)/((N49-1)*SUMPRODUCT(--($L$6:$L$300&lt;&gt;1),--($C$6:$C$300=$C49),$E$6:$E$300)/N49))</f>
        <v>148.32112101908572</v>
      </c>
      <c r="Q49" s="2">
        <f t="shared" si="3"/>
        <v>157.75590538723642</v>
      </c>
      <c r="R49" s="2">
        <f t="shared" si="3"/>
        <v>537.91823507791537</v>
      </c>
      <c r="S49" s="2">
        <f t="shared" si="7"/>
        <v>308.05482602130013</v>
      </c>
    </row>
    <row r="50" spans="2:19" x14ac:dyDescent="0.35">
      <c r="B50">
        <v>427</v>
      </c>
      <c r="C50" s="17">
        <v>5</v>
      </c>
      <c r="D50" s="22" t="s">
        <v>74</v>
      </c>
      <c r="E50" s="90">
        <f>INDEX('Revised 2019 Lockdown'!H$5:H$257,MATCH(B50,'Revised 2019 Lockdown'!B$5:B$257,0))</f>
        <v>437.80999999999989</v>
      </c>
      <c r="F50" s="7">
        <f>INDEX('Revised 2019 Lockdown'!E$5:E$257,MATCH(B50,'Revised 2019 Lockdown'!B$5:B$257,0))</f>
        <v>207168.59</v>
      </c>
      <c r="G50" s="7">
        <f>INDEX('Revised 2019 Lockdown'!F$5:F$257,MATCH(B50,'Revised 2019 Lockdown'!B$5:B$257,0))</f>
        <v>41727.25</v>
      </c>
      <c r="H50" s="7">
        <f t="shared" si="4"/>
        <v>165441.34</v>
      </c>
      <c r="I50" s="6">
        <f t="shared" si="0"/>
        <v>377.88387656746085</v>
      </c>
      <c r="J50" s="6">
        <f t="shared" si="5"/>
        <v>377.88387656746085</v>
      </c>
      <c r="K50" s="5">
        <f t="shared" si="1"/>
        <v>165441.34</v>
      </c>
      <c r="L50" s="4">
        <f t="shared" si="2"/>
        <v>0</v>
      </c>
      <c r="M50" s="2" cm="1">
        <f t="array" ref="M50">SUMPRODUCT(--($L$6:$L$300&lt;&gt;1),--($C$6:$C$300=$C50),$H$6:$H$300)/SUMPRODUCT(--($L$6:$L$300&lt;&gt;1),--($C$6:$C$300=$C50),$E$6:$E$300)</f>
        <v>347.83707023257591</v>
      </c>
      <c r="N50" s="1" cm="1">
        <f t="array" ref="N50">SUMPRODUCT(--($L$6:$L$300&lt;&gt;1),--($C$6:$C$300=$C50))</f>
        <v>21</v>
      </c>
      <c r="O50" s="3">
        <f t="shared" si="6"/>
        <v>902.81057092608137</v>
      </c>
      <c r="P50" s="2" cm="1">
        <f t="array" ref="P50">SQRT(SUMPRODUCT(--($L$6:$L$300&lt;&gt;1),--($C$6:$C$300=$C50),$E$6:$E$300,$O$6:$O$300)/((N50-1)*SUMPRODUCT(--($L$6:$L$300&lt;&gt;1),--($C$6:$C$300=$C50),$E$6:$E$300)/N50))</f>
        <v>148.32112101908572</v>
      </c>
      <c r="Q50" s="2">
        <f t="shared" si="3"/>
        <v>157.75590538723642</v>
      </c>
      <c r="R50" s="2">
        <f t="shared" si="3"/>
        <v>537.91823507791537</v>
      </c>
      <c r="S50" s="2">
        <f t="shared" si="7"/>
        <v>377.88387656746085</v>
      </c>
    </row>
    <row r="51" spans="2:19" x14ac:dyDescent="0.35">
      <c r="B51">
        <v>524</v>
      </c>
      <c r="C51" s="17">
        <v>5</v>
      </c>
      <c r="D51" s="22" t="s">
        <v>75</v>
      </c>
      <c r="E51" s="90">
        <f>INDEX('Revised 2019 Lockdown'!H$5:H$257,MATCH(B51,'Revised 2019 Lockdown'!B$5:B$257,0))</f>
        <v>482.90262956638958</v>
      </c>
      <c r="F51" s="7">
        <f>INDEX('Revised 2019 Lockdown'!E$5:E$257,MATCH(B51,'Revised 2019 Lockdown'!B$5:B$257,0))</f>
        <v>318123.49</v>
      </c>
      <c r="G51" s="7">
        <f>INDEX('Revised 2019 Lockdown'!F$5:F$257,MATCH(B51,'Revised 2019 Lockdown'!B$5:B$257,0))</f>
        <v>89207.8</v>
      </c>
      <c r="H51" s="7">
        <f t="shared" si="4"/>
        <v>228915.69</v>
      </c>
      <c r="I51" s="6">
        <f t="shared" si="0"/>
        <v>474.04109231202398</v>
      </c>
      <c r="J51" s="6">
        <f t="shared" si="5"/>
        <v>474.04109231202398</v>
      </c>
      <c r="K51" s="5">
        <f t="shared" si="1"/>
        <v>228915.69</v>
      </c>
      <c r="L51" s="4">
        <f t="shared" si="2"/>
        <v>0</v>
      </c>
      <c r="M51" s="2" cm="1">
        <f t="array" ref="M51">SUMPRODUCT(--($L$6:$L$300&lt;&gt;1),--($C$6:$C$300=$C51),$H$6:$H$300)/SUMPRODUCT(--($L$6:$L$300&lt;&gt;1),--($C$6:$C$300=$C51),$E$6:$E$300)</f>
        <v>347.83707023257591</v>
      </c>
      <c r="N51" s="1" cm="1">
        <f t="array" ref="N51">SUMPRODUCT(--($L$6:$L$300&lt;&gt;1),--($C$6:$C$300=$C51))</f>
        <v>21</v>
      </c>
      <c r="O51" s="3">
        <f t="shared" si="6"/>
        <v>15927.455189029815</v>
      </c>
      <c r="P51" s="2" cm="1">
        <f t="array" ref="P51">SQRT(SUMPRODUCT(--($L$6:$L$300&lt;&gt;1),--($C$6:$C$300=$C51),$E$6:$E$300,$O$6:$O$300)/((N51-1)*SUMPRODUCT(--($L$6:$L$300&lt;&gt;1),--($C$6:$C$300=$C51),$E$6:$E$300)/N51))</f>
        <v>148.32112101908572</v>
      </c>
      <c r="Q51" s="2">
        <f t="shared" si="3"/>
        <v>157.75590538723642</v>
      </c>
      <c r="R51" s="2">
        <f t="shared" si="3"/>
        <v>537.91823507791537</v>
      </c>
      <c r="S51" s="2">
        <f t="shared" si="7"/>
        <v>474.04109231202398</v>
      </c>
    </row>
    <row r="52" spans="2:19" x14ac:dyDescent="0.35">
      <c r="B52">
        <v>565</v>
      </c>
      <c r="C52" s="17">
        <v>5</v>
      </c>
      <c r="D52" s="22" t="s">
        <v>76</v>
      </c>
      <c r="E52" s="90">
        <f>INDEX('Revised 2019 Lockdown'!H$5:H$257,MATCH(B52,'Revised 2019 Lockdown'!B$5:B$257,0))</f>
        <v>483.48174802310336</v>
      </c>
      <c r="F52" s="7">
        <f>INDEX('Revised 2019 Lockdown'!E$5:E$257,MATCH(B52,'Revised 2019 Lockdown'!B$5:B$257,0))</f>
        <v>273760.90999999997</v>
      </c>
      <c r="G52" s="7">
        <f>INDEX('Revised 2019 Lockdown'!F$5:F$257,MATCH(B52,'Revised 2019 Lockdown'!B$5:B$257,0))</f>
        <v>88951.02</v>
      </c>
      <c r="H52" s="7">
        <f t="shared" si="4"/>
        <v>184809.88999999996</v>
      </c>
      <c r="I52" s="6">
        <f t="shared" si="0"/>
        <v>382.2479147468639</v>
      </c>
      <c r="J52" s="6">
        <f t="shared" si="5"/>
        <v>382.2479147468639</v>
      </c>
      <c r="K52" s="5">
        <f t="shared" si="1"/>
        <v>184809.88999999996</v>
      </c>
      <c r="L52" s="4">
        <f t="shared" si="2"/>
        <v>0</v>
      </c>
      <c r="M52" s="2" cm="1">
        <f t="array" ref="M52">SUMPRODUCT(--($L$6:$L$300&lt;&gt;1),--($C$6:$C$300=$C52),$H$6:$H$300)/SUMPRODUCT(--($L$6:$L$300&lt;&gt;1),--($C$6:$C$300=$C52),$E$6:$E$300)</f>
        <v>347.83707023257591</v>
      </c>
      <c r="N52" s="1" cm="1">
        <f t="array" ref="N52">SUMPRODUCT(--($L$6:$L$300&lt;&gt;1),--($C$6:$C$300=$C52))</f>
        <v>21</v>
      </c>
      <c r="O52" s="3">
        <f t="shared" si="6"/>
        <v>1184.1062201865036</v>
      </c>
      <c r="P52" s="2" cm="1">
        <f t="array" ref="P52">SQRT(SUMPRODUCT(--($L$6:$L$300&lt;&gt;1),--($C$6:$C$300=$C52),$E$6:$E$300,$O$6:$O$300)/((N52-1)*SUMPRODUCT(--($L$6:$L$300&lt;&gt;1),--($C$6:$C$300=$C52),$E$6:$E$300)/N52))</f>
        <v>148.32112101908572</v>
      </c>
      <c r="Q52" s="2">
        <f t="shared" si="3"/>
        <v>157.75590538723642</v>
      </c>
      <c r="R52" s="2">
        <f t="shared" si="3"/>
        <v>537.91823507791537</v>
      </c>
      <c r="S52" s="2">
        <f t="shared" si="7"/>
        <v>382.2479147468639</v>
      </c>
    </row>
    <row r="53" spans="2:19" x14ac:dyDescent="0.35">
      <c r="B53">
        <v>613</v>
      </c>
      <c r="C53" s="17">
        <v>5</v>
      </c>
      <c r="D53" s="22" t="s">
        <v>77</v>
      </c>
      <c r="E53" s="90">
        <f>INDEX('Revised 2019 Lockdown'!H$5:H$257,MATCH(B53,'Revised 2019 Lockdown'!B$5:B$257,0))</f>
        <v>131.44881180778847</v>
      </c>
      <c r="F53" s="7">
        <f>INDEX('Revised 2019 Lockdown'!E$5:E$257,MATCH(B53,'Revised 2019 Lockdown'!B$5:B$257,0))</f>
        <v>69874.64</v>
      </c>
      <c r="G53" s="7">
        <f>INDEX('Revised 2019 Lockdown'!F$5:F$257,MATCH(B53,'Revised 2019 Lockdown'!B$5:B$257,0))</f>
        <v>0</v>
      </c>
      <c r="H53" s="7">
        <f t="shared" si="4"/>
        <v>69874.64</v>
      </c>
      <c r="I53" s="6">
        <f t="shared" si="0"/>
        <v>531.57300578855336</v>
      </c>
      <c r="J53" s="6">
        <f t="shared" si="5"/>
        <v>531.57300578855336</v>
      </c>
      <c r="K53" s="5">
        <f t="shared" si="1"/>
        <v>69874.64</v>
      </c>
      <c r="L53" s="4">
        <f t="shared" si="2"/>
        <v>0</v>
      </c>
      <c r="M53" s="2" cm="1">
        <f t="array" ref="M53">SUMPRODUCT(--($L$6:$L$300&lt;&gt;1),--($C$6:$C$300=$C53),$H$6:$H$300)/SUMPRODUCT(--($L$6:$L$300&lt;&gt;1),--($C$6:$C$300=$C53),$E$6:$E$300)</f>
        <v>347.83707023257591</v>
      </c>
      <c r="N53" s="1" cm="1">
        <f t="array" ref="N53">SUMPRODUCT(--($L$6:$L$300&lt;&gt;1),--($C$6:$C$300=$C53))</f>
        <v>21</v>
      </c>
      <c r="O53" s="3">
        <f t="shared" si="6"/>
        <v>33758.894014630299</v>
      </c>
      <c r="P53" s="2" cm="1">
        <f t="array" ref="P53">SQRT(SUMPRODUCT(--($L$6:$L$300&lt;&gt;1),--($C$6:$C$300=$C53),$E$6:$E$300,$O$6:$O$300)/((N53-1)*SUMPRODUCT(--($L$6:$L$300&lt;&gt;1),--($C$6:$C$300=$C53),$E$6:$E$300)/N53))</f>
        <v>148.32112101908572</v>
      </c>
      <c r="Q53" s="2">
        <f t="shared" si="3"/>
        <v>157.75590538723642</v>
      </c>
      <c r="R53" s="2">
        <f t="shared" si="3"/>
        <v>537.91823507791537</v>
      </c>
      <c r="S53" s="2">
        <f t="shared" si="7"/>
        <v>531.57300578855336</v>
      </c>
    </row>
    <row r="54" spans="2:19" x14ac:dyDescent="0.35">
      <c r="B54">
        <v>696</v>
      </c>
      <c r="C54" s="17">
        <v>5</v>
      </c>
      <c r="D54" s="22" t="s">
        <v>78</v>
      </c>
      <c r="E54" s="90">
        <f>INDEX('Revised 2019 Lockdown'!H$5:H$257,MATCH(B54,'Revised 2019 Lockdown'!B$5:B$257,0))</f>
        <v>255.58264483294207</v>
      </c>
      <c r="F54" s="7">
        <f>INDEX('Revised 2019 Lockdown'!E$5:E$257,MATCH(B54,'Revised 2019 Lockdown'!B$5:B$257,0))</f>
        <v>129470.73</v>
      </c>
      <c r="G54" s="7">
        <f>INDEX('Revised 2019 Lockdown'!F$5:F$257,MATCH(B54,'Revised 2019 Lockdown'!B$5:B$257,0))</f>
        <v>201.75</v>
      </c>
      <c r="H54" s="7">
        <f t="shared" si="4"/>
        <v>129268.98</v>
      </c>
      <c r="I54" s="6">
        <f t="shared" si="0"/>
        <v>505.78152551983652</v>
      </c>
      <c r="J54" s="6">
        <f t="shared" si="5"/>
        <v>505.78152551983652</v>
      </c>
      <c r="K54" s="5">
        <f t="shared" si="1"/>
        <v>129268.98</v>
      </c>
      <c r="L54" s="4">
        <f t="shared" si="2"/>
        <v>0</v>
      </c>
      <c r="M54" s="2" cm="1">
        <f t="array" ref="M54">SUMPRODUCT(--($L$6:$L$300&lt;&gt;1),--($C$6:$C$300=$C54),$H$6:$H$300)/SUMPRODUCT(--($L$6:$L$300&lt;&gt;1),--($C$6:$C$300=$C54),$E$6:$E$300)</f>
        <v>347.83707023257591</v>
      </c>
      <c r="N54" s="1" cm="1">
        <f t="array" ref="N54">SUMPRODUCT(--($L$6:$L$300&lt;&gt;1),--($C$6:$C$300=$C54))</f>
        <v>21</v>
      </c>
      <c r="O54" s="3">
        <f t="shared" si="6"/>
        <v>24946.450955989465</v>
      </c>
      <c r="P54" s="2" cm="1">
        <f t="array" ref="P54">SQRT(SUMPRODUCT(--($L$6:$L$300&lt;&gt;1),--($C$6:$C$300=$C54),$E$6:$E$300,$O$6:$O$300)/((N54-1)*SUMPRODUCT(--($L$6:$L$300&lt;&gt;1),--($C$6:$C$300=$C54),$E$6:$E$300)/N54))</f>
        <v>148.32112101908572</v>
      </c>
      <c r="Q54" s="2">
        <f t="shared" si="3"/>
        <v>157.75590538723642</v>
      </c>
      <c r="R54" s="2">
        <f t="shared" si="3"/>
        <v>537.91823507791537</v>
      </c>
      <c r="S54" s="2">
        <f t="shared" si="7"/>
        <v>505.78152551983652</v>
      </c>
    </row>
    <row r="55" spans="2:19" x14ac:dyDescent="0.35">
      <c r="B55">
        <v>731</v>
      </c>
      <c r="C55" s="17">
        <v>5</v>
      </c>
      <c r="D55" s="22" t="s">
        <v>79</v>
      </c>
      <c r="E55" s="90">
        <f>INDEX('Revised 2019 Lockdown'!H$5:H$257,MATCH(B55,'Revised 2019 Lockdown'!B$5:B$257,0))</f>
        <v>1049.3999999999999</v>
      </c>
      <c r="F55" s="7">
        <f>INDEX('Revised 2019 Lockdown'!E$5:E$257,MATCH(B55,'Revised 2019 Lockdown'!B$5:B$257,0))</f>
        <v>268966.73</v>
      </c>
      <c r="G55" s="7">
        <f>INDEX('Revised 2019 Lockdown'!F$5:F$257,MATCH(B55,'Revised 2019 Lockdown'!B$5:B$257,0))</f>
        <v>41367.85</v>
      </c>
      <c r="H55" s="7">
        <f t="shared" si="4"/>
        <v>227598.87999999998</v>
      </c>
      <c r="I55" s="6">
        <f t="shared" si="0"/>
        <v>216.88477225080999</v>
      </c>
      <c r="J55" s="6">
        <f t="shared" si="5"/>
        <v>216.88477225080999</v>
      </c>
      <c r="K55" s="5">
        <f t="shared" si="1"/>
        <v>227598.87999999998</v>
      </c>
      <c r="L55" s="4">
        <f t="shared" si="2"/>
        <v>0</v>
      </c>
      <c r="M55" s="2" cm="1">
        <f t="array" ref="M55">SUMPRODUCT(--($L$6:$L$300&lt;&gt;1),--($C$6:$C$300=$C55),$H$6:$H$300)/SUMPRODUCT(--($L$6:$L$300&lt;&gt;1),--($C$6:$C$300=$C55),$E$6:$E$300)</f>
        <v>347.83707023257591</v>
      </c>
      <c r="N55" s="1" cm="1">
        <f t="array" ref="N55">SUMPRODUCT(--($L$6:$L$300&lt;&gt;1),--($C$6:$C$300=$C55))</f>
        <v>21</v>
      </c>
      <c r="O55" s="3">
        <f t="shared" si="6"/>
        <v>17148.504346705216</v>
      </c>
      <c r="P55" s="2" cm="1">
        <f t="array" ref="P55">SQRT(SUMPRODUCT(--($L$6:$L$300&lt;&gt;1),--($C$6:$C$300=$C55),$E$6:$E$300,$O$6:$O$300)/((N55-1)*SUMPRODUCT(--($L$6:$L$300&lt;&gt;1),--($C$6:$C$300=$C55),$E$6:$E$300)/N55))</f>
        <v>148.32112101908572</v>
      </c>
      <c r="Q55" s="2">
        <f t="shared" si="3"/>
        <v>157.75590538723642</v>
      </c>
      <c r="R55" s="2">
        <f t="shared" si="3"/>
        <v>537.91823507791537</v>
      </c>
      <c r="S55" s="2">
        <f t="shared" si="7"/>
        <v>216.88477225080999</v>
      </c>
    </row>
    <row r="56" spans="2:19" x14ac:dyDescent="0.35">
      <c r="B56">
        <v>732</v>
      </c>
      <c r="C56" s="17">
        <v>5</v>
      </c>
      <c r="D56" s="22" t="s">
        <v>80</v>
      </c>
      <c r="E56" s="90">
        <f>INDEX('Revised 2019 Lockdown'!H$5:H$257,MATCH(B56,'Revised 2019 Lockdown'!B$5:B$257,0))</f>
        <v>190.20939315714199</v>
      </c>
      <c r="F56" s="7">
        <f>INDEX('Revised 2019 Lockdown'!E$5:E$257,MATCH(B56,'Revised 2019 Lockdown'!B$5:B$257,0))</f>
        <v>70626.64</v>
      </c>
      <c r="G56" s="7">
        <f>INDEX('Revised 2019 Lockdown'!F$5:F$257,MATCH(B56,'Revised 2019 Lockdown'!B$5:B$257,0))</f>
        <v>0</v>
      </c>
      <c r="H56" s="7">
        <f t="shared" si="4"/>
        <v>70626.64</v>
      </c>
      <c r="I56" s="6">
        <f t="shared" si="0"/>
        <v>371.3099486188446</v>
      </c>
      <c r="J56" s="6">
        <f t="shared" si="5"/>
        <v>371.3099486188446</v>
      </c>
      <c r="K56" s="5">
        <f t="shared" si="1"/>
        <v>70626.64</v>
      </c>
      <c r="L56" s="4">
        <f t="shared" si="2"/>
        <v>0</v>
      </c>
      <c r="M56" s="2" cm="1">
        <f t="array" ref="M56">SUMPRODUCT(--($L$6:$L$300&lt;&gt;1),--($C$6:$C$300=$C56),$H$6:$H$300)/SUMPRODUCT(--($L$6:$L$300&lt;&gt;1),--($C$6:$C$300=$C56),$E$6:$E$300)</f>
        <v>347.83707023257591</v>
      </c>
      <c r="N56" s="1" cm="1">
        <f t="array" ref="N56">SUMPRODUCT(--($L$6:$L$300&lt;&gt;1),--($C$6:$C$300=$C56))</f>
        <v>21</v>
      </c>
      <c r="O56" s="3">
        <f t="shared" si="6"/>
        <v>550.97601973655981</v>
      </c>
      <c r="P56" s="2" cm="1">
        <f t="array" ref="P56">SQRT(SUMPRODUCT(--($L$6:$L$300&lt;&gt;1),--($C$6:$C$300=$C56),$E$6:$E$300,$O$6:$O$300)/((N56-1)*SUMPRODUCT(--($L$6:$L$300&lt;&gt;1),--($C$6:$C$300=$C56),$E$6:$E$300)/N56))</f>
        <v>148.32112101908572</v>
      </c>
      <c r="Q56" s="2">
        <f t="shared" si="3"/>
        <v>157.75590538723642</v>
      </c>
      <c r="R56" s="2">
        <f t="shared" si="3"/>
        <v>537.91823507791537</v>
      </c>
      <c r="S56" s="2">
        <f t="shared" si="7"/>
        <v>371.3099486188446</v>
      </c>
    </row>
    <row r="57" spans="2:19" x14ac:dyDescent="0.35">
      <c r="B57">
        <v>754</v>
      </c>
      <c r="C57" s="17">
        <v>5</v>
      </c>
      <c r="D57" s="22" t="s">
        <v>81</v>
      </c>
      <c r="E57" s="90">
        <f>INDEX('Revised 2019 Lockdown'!H$5:H$257,MATCH(B57,'Revised 2019 Lockdown'!B$5:B$257,0))</f>
        <v>100.39736101583898</v>
      </c>
      <c r="F57" s="7">
        <f>INDEX('Revised 2019 Lockdown'!E$5:E$257,MATCH(B57,'Revised 2019 Lockdown'!B$5:B$257,0))</f>
        <v>35014.82</v>
      </c>
      <c r="G57" s="7">
        <f>INDEX('Revised 2019 Lockdown'!F$5:F$257,MATCH(B57,'Revised 2019 Lockdown'!B$5:B$257,0))</f>
        <v>0</v>
      </c>
      <c r="H57" s="7">
        <f t="shared" si="4"/>
        <v>35014.82</v>
      </c>
      <c r="I57" s="6">
        <f t="shared" si="0"/>
        <v>348.762354365828</v>
      </c>
      <c r="J57" s="6">
        <f t="shared" si="5"/>
        <v>348.762354365828</v>
      </c>
      <c r="K57" s="5">
        <f t="shared" si="1"/>
        <v>35014.82</v>
      </c>
      <c r="L57" s="4">
        <f t="shared" si="2"/>
        <v>0</v>
      </c>
      <c r="M57" s="2" cm="1">
        <f t="array" ref="M57">SUMPRODUCT(--($L$6:$L$300&lt;&gt;1),--($C$6:$C$300=$C57),$H$6:$H$300)/SUMPRODUCT(--($L$6:$L$300&lt;&gt;1),--($C$6:$C$300=$C57),$E$6:$E$300)</f>
        <v>347.83707023257591</v>
      </c>
      <c r="N57" s="1" cm="1">
        <f t="array" ref="N57">SUMPRODUCT(--($L$6:$L$300&lt;&gt;1),--($C$6:$C$300=$C57))</f>
        <v>21</v>
      </c>
      <c r="O57" s="3">
        <f t="shared" si="6"/>
        <v>0.85615072724807439</v>
      </c>
      <c r="P57" s="2" cm="1">
        <f t="array" ref="P57">SQRT(SUMPRODUCT(--($L$6:$L$300&lt;&gt;1),--($C$6:$C$300=$C57),$E$6:$E$300,$O$6:$O$300)/((N57-1)*SUMPRODUCT(--($L$6:$L$300&lt;&gt;1),--($C$6:$C$300=$C57),$E$6:$E$300)/N57))</f>
        <v>148.32112101908572</v>
      </c>
      <c r="Q57" s="2">
        <f t="shared" si="3"/>
        <v>157.75590538723642</v>
      </c>
      <c r="R57" s="2">
        <f t="shared" si="3"/>
        <v>537.91823507791537</v>
      </c>
      <c r="S57" s="2">
        <f t="shared" si="7"/>
        <v>348.762354365828</v>
      </c>
    </row>
    <row r="58" spans="2:19" x14ac:dyDescent="0.35">
      <c r="B58">
        <v>885</v>
      </c>
      <c r="C58" s="17">
        <v>5</v>
      </c>
      <c r="D58" s="22" t="s">
        <v>82</v>
      </c>
      <c r="E58" s="90">
        <f>INDEX('Revised 2019 Lockdown'!H$5:H$257,MATCH(B58,'Revised 2019 Lockdown'!B$5:B$257,0))</f>
        <v>441.47999999999996</v>
      </c>
      <c r="F58" s="7">
        <f>INDEX('Revised 2019 Lockdown'!E$5:E$257,MATCH(B58,'Revised 2019 Lockdown'!B$5:B$257,0))</f>
        <v>146152.16</v>
      </c>
      <c r="G58" s="7">
        <f>INDEX('Revised 2019 Lockdown'!F$5:F$257,MATCH(B58,'Revised 2019 Lockdown'!B$5:B$257,0))</f>
        <v>0</v>
      </c>
      <c r="H58" s="7">
        <f t="shared" si="4"/>
        <v>146152.16</v>
      </c>
      <c r="I58" s="6">
        <f t="shared" si="0"/>
        <v>331.05046661230409</v>
      </c>
      <c r="J58" s="6">
        <f t="shared" si="5"/>
        <v>331.05046661230409</v>
      </c>
      <c r="K58" s="5">
        <f t="shared" si="1"/>
        <v>146152.16</v>
      </c>
      <c r="L58" s="4">
        <f t="shared" si="2"/>
        <v>0</v>
      </c>
      <c r="M58" s="2" cm="1">
        <f t="array" ref="M58">SUMPRODUCT(--($L$6:$L$300&lt;&gt;1),--($C$6:$C$300=$C58),$H$6:$H$300)/SUMPRODUCT(--($L$6:$L$300&lt;&gt;1),--($C$6:$C$300=$C58),$E$6:$E$300)</f>
        <v>347.83707023257591</v>
      </c>
      <c r="N58" s="1" cm="1">
        <f t="array" ref="N58">SUMPRODUCT(--($L$6:$L$300&lt;&gt;1),--($C$6:$C$300=$C58))</f>
        <v>21</v>
      </c>
      <c r="O58" s="3">
        <f t="shared" si="6"/>
        <v>281.79006110412297</v>
      </c>
      <c r="P58" s="2" cm="1">
        <f t="array" ref="P58">SQRT(SUMPRODUCT(--($L$6:$L$300&lt;&gt;1),--($C$6:$C$300=$C58),$E$6:$E$300,$O$6:$O$300)/((N58-1)*SUMPRODUCT(--($L$6:$L$300&lt;&gt;1),--($C$6:$C$300=$C58),$E$6:$E$300)/N58))</f>
        <v>148.32112101908572</v>
      </c>
      <c r="Q58" s="2">
        <f t="shared" si="3"/>
        <v>157.75590538723642</v>
      </c>
      <c r="R58" s="2">
        <f t="shared" si="3"/>
        <v>537.91823507791537</v>
      </c>
      <c r="S58" s="2">
        <f t="shared" si="7"/>
        <v>331.05046661230409</v>
      </c>
    </row>
    <row r="59" spans="2:19" x14ac:dyDescent="0.35">
      <c r="B59">
        <v>909</v>
      </c>
      <c r="C59" s="17">
        <v>5</v>
      </c>
      <c r="D59" s="22" t="s">
        <v>83</v>
      </c>
      <c r="E59" s="90">
        <f>INDEX('Revised 2019 Lockdown'!H$5:H$257,MATCH(B59,'Revised 2019 Lockdown'!B$5:B$257,0))</f>
        <v>447.85999999999996</v>
      </c>
      <c r="F59" s="7">
        <f>INDEX('Revised 2019 Lockdown'!E$5:E$257,MATCH(B59,'Revised 2019 Lockdown'!B$5:B$257,0))</f>
        <v>200038.02</v>
      </c>
      <c r="G59" s="7">
        <f>INDEX('Revised 2019 Lockdown'!F$5:F$257,MATCH(B59,'Revised 2019 Lockdown'!B$5:B$257,0))</f>
        <v>620.13</v>
      </c>
      <c r="H59" s="7">
        <f t="shared" si="4"/>
        <v>199417.88999999998</v>
      </c>
      <c r="I59" s="6">
        <f t="shared" si="0"/>
        <v>445.26836511409817</v>
      </c>
      <c r="J59" s="6">
        <f t="shared" si="5"/>
        <v>445.26836511409817</v>
      </c>
      <c r="K59" s="5">
        <f t="shared" si="1"/>
        <v>199417.88999999998</v>
      </c>
      <c r="L59" s="4">
        <f t="shared" si="2"/>
        <v>0</v>
      </c>
      <c r="M59" s="2" cm="1">
        <f t="array" ref="M59">SUMPRODUCT(--($L$6:$L$300&lt;&gt;1),--($C$6:$C$300=$C59),$H$6:$H$300)/SUMPRODUCT(--($L$6:$L$300&lt;&gt;1),--($C$6:$C$300=$C59),$E$6:$E$300)</f>
        <v>347.83707023257591</v>
      </c>
      <c r="N59" s="1" cm="1">
        <f t="array" ref="N59">SUMPRODUCT(--($L$6:$L$300&lt;&gt;1),--($C$6:$C$300=$C59))</f>
        <v>21</v>
      </c>
      <c r="O59" s="3">
        <f t="shared" si="6"/>
        <v>9492.8572222901457</v>
      </c>
      <c r="P59" s="2" cm="1">
        <f t="array" ref="P59">SQRT(SUMPRODUCT(--($L$6:$L$300&lt;&gt;1),--($C$6:$C$300=$C59),$E$6:$E$300,$O$6:$O$300)/((N59-1)*SUMPRODUCT(--($L$6:$L$300&lt;&gt;1),--($C$6:$C$300=$C59),$E$6:$E$300)/N59))</f>
        <v>148.32112101908572</v>
      </c>
      <c r="Q59" s="2">
        <f t="shared" si="3"/>
        <v>157.75590538723642</v>
      </c>
      <c r="R59" s="2">
        <f t="shared" si="3"/>
        <v>537.91823507791537</v>
      </c>
      <c r="S59" s="2">
        <f t="shared" si="7"/>
        <v>445.26836511409817</v>
      </c>
    </row>
    <row r="60" spans="2:19" x14ac:dyDescent="0.35">
      <c r="B60">
        <v>923</v>
      </c>
      <c r="C60" s="17">
        <v>5</v>
      </c>
      <c r="D60" s="22" t="s">
        <v>84</v>
      </c>
      <c r="E60" s="90">
        <f>INDEX('Revised 2019 Lockdown'!H$5:H$257,MATCH(B60,'Revised 2019 Lockdown'!B$5:B$257,0))</f>
        <v>44.943349148505419</v>
      </c>
      <c r="F60" s="7">
        <f>INDEX('Revised 2019 Lockdown'!E$5:E$257,MATCH(B60,'Revised 2019 Lockdown'!B$5:B$257,0))</f>
        <v>31192.39</v>
      </c>
      <c r="G60" s="7">
        <f>INDEX('Revised 2019 Lockdown'!F$5:F$257,MATCH(B60,'Revised 2019 Lockdown'!B$5:B$257,0))</f>
        <v>84</v>
      </c>
      <c r="H60" s="7">
        <f t="shared" si="4"/>
        <v>31108.39</v>
      </c>
      <c r="I60" s="6">
        <f t="shared" si="0"/>
        <v>692.16893243111815</v>
      </c>
      <c r="J60" s="6">
        <f t="shared" si="5"/>
        <v>537.91823507791537</v>
      </c>
      <c r="K60" s="5">
        <f t="shared" si="1"/>
        <v>24175.847052454566</v>
      </c>
      <c r="L60" s="4">
        <f t="shared" si="2"/>
        <v>0</v>
      </c>
      <c r="M60" s="2" cm="1">
        <f t="array" ref="M60">SUMPRODUCT(--($L$6:$L$300&lt;&gt;1),--($C$6:$C$300=$C60),$H$6:$H$300)/SUMPRODUCT(--($L$6:$L$300&lt;&gt;1),--($C$6:$C$300=$C60),$E$6:$E$300)</f>
        <v>347.83707023257591</v>
      </c>
      <c r="N60" s="1" cm="1">
        <f t="array" ref="N60">SUMPRODUCT(--($L$6:$L$300&lt;&gt;1),--($C$6:$C$300=$C60))</f>
        <v>21</v>
      </c>
      <c r="O60" s="3">
        <f t="shared" si="6"/>
        <v>118564.43132511589</v>
      </c>
      <c r="P60" s="2" cm="1">
        <f t="array" ref="P60">SQRT(SUMPRODUCT(--($L$6:$L$300&lt;&gt;1),--($C$6:$C$300=$C60),$E$6:$E$300,$O$6:$O$300)/((N60-1)*SUMPRODUCT(--($L$6:$L$300&lt;&gt;1),--($C$6:$C$300=$C60),$E$6:$E$300)/N60))</f>
        <v>148.32112101908572</v>
      </c>
      <c r="Q60" s="2">
        <f t="shared" si="3"/>
        <v>157.75590538723642</v>
      </c>
      <c r="R60" s="2">
        <f t="shared" si="3"/>
        <v>537.91823507791537</v>
      </c>
      <c r="S60" s="2">
        <f t="shared" si="7"/>
        <v>537.91823507791537</v>
      </c>
    </row>
    <row r="61" spans="2:19" x14ac:dyDescent="0.35">
      <c r="B61">
        <v>394</v>
      </c>
      <c r="C61" s="17">
        <v>6</v>
      </c>
      <c r="D61" s="22" t="s">
        <v>85</v>
      </c>
      <c r="E61" s="90">
        <f>INDEX('Revised 2019 Lockdown'!H$5:H$257,MATCH(B61,'Revised 2019 Lockdown'!B$5:B$257,0))</f>
        <v>594.22</v>
      </c>
      <c r="F61" s="7">
        <f>INDEX('Revised 2019 Lockdown'!E$5:E$257,MATCH(B61,'Revised 2019 Lockdown'!B$5:B$257,0))</f>
        <v>421357.69</v>
      </c>
      <c r="G61" s="7">
        <f>INDEX('Revised 2019 Lockdown'!F$5:F$257,MATCH(B61,'Revised 2019 Lockdown'!B$5:B$257,0))</f>
        <v>25617.809999999998</v>
      </c>
      <c r="H61" s="7">
        <f t="shared" si="4"/>
        <v>395739.88</v>
      </c>
      <c r="I61" s="6">
        <f t="shared" si="0"/>
        <v>665.982094173875</v>
      </c>
      <c r="J61" s="6">
        <f t="shared" si="5"/>
        <v>665.982094173875</v>
      </c>
      <c r="K61" s="5">
        <f t="shared" si="1"/>
        <v>395739.88</v>
      </c>
      <c r="L61" s="4">
        <f t="shared" si="2"/>
        <v>0</v>
      </c>
      <c r="M61" s="2" cm="1">
        <f t="array" ref="M61">SUMPRODUCT(--($L$6:$L$300&lt;&gt;1),--($C$6:$C$300=$C61),$H$6:$H$300)/SUMPRODUCT(--($L$6:$L$300&lt;&gt;1),--($C$6:$C$300=$C61),$E$6:$E$300)</f>
        <v>809.62205731267716</v>
      </c>
      <c r="N61" s="1" cm="1">
        <f t="array" ref="N61">SUMPRODUCT(--($L$6:$L$300&lt;&gt;1),--($C$6:$C$300=$C61))</f>
        <v>49</v>
      </c>
      <c r="O61" s="3">
        <f t="shared" si="6"/>
        <v>20632.439010516442</v>
      </c>
      <c r="P61" s="2" cm="1">
        <f t="array" ref="P61">SQRT(SUMPRODUCT(--($L$6:$L$300&lt;&gt;1),--($C$6:$C$300=$C61),$E$6:$E$300,$O$6:$O$300)/((N61-1)*SUMPRODUCT(--($L$6:$L$300&lt;&gt;1),--($C$6:$C$300=$C61),$E$6:$E$300)/N61))</f>
        <v>552.30327144124203</v>
      </c>
      <c r="Q61" s="2">
        <f t="shared" si="3"/>
        <v>101.8169351417489</v>
      </c>
      <c r="R61" s="2">
        <f t="shared" si="3"/>
        <v>1517.4271794836054</v>
      </c>
      <c r="S61" s="2">
        <f t="shared" si="7"/>
        <v>665.982094173875</v>
      </c>
    </row>
    <row r="62" spans="2:19" x14ac:dyDescent="0.35">
      <c r="B62">
        <v>414</v>
      </c>
      <c r="C62" s="17">
        <v>6</v>
      </c>
      <c r="D62" s="22" t="s">
        <v>86</v>
      </c>
      <c r="E62" s="90">
        <f>INDEX('Revised 2019 Lockdown'!H$5:H$257,MATCH(B62,'Revised 2019 Lockdown'!B$5:B$257,0))</f>
        <v>165.57466674439706</v>
      </c>
      <c r="F62" s="7">
        <f>INDEX('Revised 2019 Lockdown'!E$5:E$257,MATCH(B62,'Revised 2019 Lockdown'!B$5:B$257,0))</f>
        <v>222802.48</v>
      </c>
      <c r="G62" s="7">
        <f>INDEX('Revised 2019 Lockdown'!F$5:F$257,MATCH(B62,'Revised 2019 Lockdown'!B$5:B$257,0))</f>
        <v>11641.15</v>
      </c>
      <c r="H62" s="7">
        <f t="shared" si="4"/>
        <v>211161.33000000002</v>
      </c>
      <c r="I62" s="6">
        <f t="shared" si="0"/>
        <v>1275.3239016085506</v>
      </c>
      <c r="J62" s="6">
        <f t="shared" si="5"/>
        <v>1275.3239016085506</v>
      </c>
      <c r="K62" s="5">
        <f t="shared" si="1"/>
        <v>211161.33</v>
      </c>
      <c r="L62" s="4">
        <f t="shared" si="2"/>
        <v>0</v>
      </c>
      <c r="M62" s="2" cm="1">
        <f t="array" ref="M62">SUMPRODUCT(--($L$6:$L$300&lt;&gt;1),--($C$6:$C$300=$C62),$H$6:$H$300)/SUMPRODUCT(--($L$6:$L$300&lt;&gt;1),--($C$6:$C$300=$C62),$E$6:$E$300)</f>
        <v>809.62205731267716</v>
      </c>
      <c r="N62" s="1" cm="1">
        <f t="array" ref="N62">SUMPRODUCT(--($L$6:$L$300&lt;&gt;1),--($C$6:$C$300=$C62))</f>
        <v>49</v>
      </c>
      <c r="O62" s="3">
        <f t="shared" si="6"/>
        <v>216878.20778057797</v>
      </c>
      <c r="P62" s="2" cm="1">
        <f t="array" ref="P62">SQRT(SUMPRODUCT(--($L$6:$L$300&lt;&gt;1),--($C$6:$C$300=$C62),$E$6:$E$300,$O$6:$O$300)/((N62-1)*SUMPRODUCT(--($L$6:$L$300&lt;&gt;1),--($C$6:$C$300=$C62),$E$6:$E$300)/N62))</f>
        <v>552.30327144124203</v>
      </c>
      <c r="Q62" s="2">
        <f t="shared" si="3"/>
        <v>101.8169351417489</v>
      </c>
      <c r="R62" s="2">
        <f t="shared" si="3"/>
        <v>1517.4271794836054</v>
      </c>
      <c r="S62" s="2">
        <f t="shared" si="7"/>
        <v>1275.3239016085506</v>
      </c>
    </row>
    <row r="63" spans="2:19" x14ac:dyDescent="0.35">
      <c r="B63">
        <v>426</v>
      </c>
      <c r="C63" s="17">
        <v>6</v>
      </c>
      <c r="D63" s="22" t="s">
        <v>87</v>
      </c>
      <c r="E63" s="90">
        <f>INDEX('Revised 2019 Lockdown'!H$5:H$257,MATCH(B63,'Revised 2019 Lockdown'!B$5:B$257,0))</f>
        <v>463.46518252947482</v>
      </c>
      <c r="F63" s="7">
        <f>INDEX('Revised 2019 Lockdown'!E$5:E$257,MATCH(B63,'Revised 2019 Lockdown'!B$5:B$257,0))</f>
        <v>170973.35</v>
      </c>
      <c r="G63" s="7">
        <f>INDEX('Revised 2019 Lockdown'!F$5:F$257,MATCH(B63,'Revised 2019 Lockdown'!B$5:B$257,0))</f>
        <v>420</v>
      </c>
      <c r="H63" s="7">
        <f t="shared" si="4"/>
        <v>170553.35</v>
      </c>
      <c r="I63" s="6">
        <f t="shared" si="0"/>
        <v>367.9960360110835</v>
      </c>
      <c r="J63" s="6">
        <f t="shared" si="5"/>
        <v>367.9960360110835</v>
      </c>
      <c r="K63" s="5">
        <f t="shared" si="1"/>
        <v>170553.35</v>
      </c>
      <c r="L63" s="4">
        <f t="shared" si="2"/>
        <v>0</v>
      </c>
      <c r="M63" s="2" cm="1">
        <f t="array" ref="M63">SUMPRODUCT(--($L$6:$L$300&lt;&gt;1),--($C$6:$C$300=$C63),$H$6:$H$300)/SUMPRODUCT(--($L$6:$L$300&lt;&gt;1),--($C$6:$C$300=$C63),$E$6:$E$300)</f>
        <v>809.62205731267716</v>
      </c>
      <c r="N63" s="1" cm="1">
        <f t="array" ref="N63">SUMPRODUCT(--($L$6:$L$300&lt;&gt;1),--($C$6:$C$300=$C63))</f>
        <v>49</v>
      </c>
      <c r="O63" s="3">
        <f t="shared" si="6"/>
        <v>195033.54269067565</v>
      </c>
      <c r="P63" s="2" cm="1">
        <f t="array" ref="P63">SQRT(SUMPRODUCT(--($L$6:$L$300&lt;&gt;1),--($C$6:$C$300=$C63),$E$6:$E$300,$O$6:$O$300)/((N63-1)*SUMPRODUCT(--($L$6:$L$300&lt;&gt;1),--($C$6:$C$300=$C63),$E$6:$E$300)/N63))</f>
        <v>552.30327144124203</v>
      </c>
      <c r="Q63" s="2">
        <f t="shared" si="3"/>
        <v>101.8169351417489</v>
      </c>
      <c r="R63" s="2">
        <f t="shared" si="3"/>
        <v>1517.4271794836054</v>
      </c>
      <c r="S63" s="2">
        <f t="shared" si="7"/>
        <v>367.9960360110835</v>
      </c>
    </row>
    <row r="64" spans="2:19" x14ac:dyDescent="0.35">
      <c r="B64">
        <v>430</v>
      </c>
      <c r="C64" s="17">
        <v>6</v>
      </c>
      <c r="D64" s="22" t="s">
        <v>88</v>
      </c>
      <c r="E64" s="90">
        <f>INDEX('Revised 2019 Lockdown'!H$5:H$257,MATCH(B64,'Revised 2019 Lockdown'!B$5:B$257,0))</f>
        <v>2460.6196060451061</v>
      </c>
      <c r="F64" s="7">
        <f>INDEX('Revised 2019 Lockdown'!E$5:E$257,MATCH(B64,'Revised 2019 Lockdown'!B$5:B$257,0))</f>
        <v>1748413.46</v>
      </c>
      <c r="G64" s="7">
        <f>INDEX('Revised 2019 Lockdown'!F$5:F$257,MATCH(B64,'Revised 2019 Lockdown'!B$5:B$257,0))</f>
        <v>480</v>
      </c>
      <c r="H64" s="7">
        <f t="shared" si="4"/>
        <v>1747933.46</v>
      </c>
      <c r="I64" s="6">
        <f t="shared" si="0"/>
        <v>710.36313605962471</v>
      </c>
      <c r="J64" s="6">
        <f t="shared" si="5"/>
        <v>710.36313605962471</v>
      </c>
      <c r="K64" s="5">
        <f t="shared" si="1"/>
        <v>1747933.46</v>
      </c>
      <c r="L64" s="4">
        <f t="shared" si="2"/>
        <v>0</v>
      </c>
      <c r="M64" s="2" cm="1">
        <f t="array" ref="M64">SUMPRODUCT(--($L$6:$L$300&lt;&gt;1),--($C$6:$C$300=$C64),$H$6:$H$300)/SUMPRODUCT(--($L$6:$L$300&lt;&gt;1),--($C$6:$C$300=$C64),$E$6:$E$300)</f>
        <v>809.62205731267716</v>
      </c>
      <c r="N64" s="1" cm="1">
        <f t="array" ref="N64">SUMPRODUCT(--($L$6:$L$300&lt;&gt;1),--($C$6:$C$300=$C64))</f>
        <v>49</v>
      </c>
      <c r="O64" s="3">
        <f t="shared" si="6"/>
        <v>9852.3334483196668</v>
      </c>
      <c r="P64" s="2" cm="1">
        <f t="array" ref="P64">SQRT(SUMPRODUCT(--($L$6:$L$300&lt;&gt;1),--($C$6:$C$300=$C64),$E$6:$E$300,$O$6:$O$300)/((N64-1)*SUMPRODUCT(--($L$6:$L$300&lt;&gt;1),--($C$6:$C$300=$C64),$E$6:$E$300)/N64))</f>
        <v>552.30327144124203</v>
      </c>
      <c r="Q64" s="2">
        <f t="shared" si="3"/>
        <v>101.8169351417489</v>
      </c>
      <c r="R64" s="2">
        <f t="shared" si="3"/>
        <v>1517.4271794836054</v>
      </c>
      <c r="S64" s="2">
        <f t="shared" si="7"/>
        <v>710.36313605962471</v>
      </c>
    </row>
    <row r="65" spans="2:19" x14ac:dyDescent="0.35">
      <c r="B65">
        <v>443</v>
      </c>
      <c r="C65" s="17">
        <v>6</v>
      </c>
      <c r="D65" s="22" t="s">
        <v>89</v>
      </c>
      <c r="E65" s="90">
        <f>INDEX('Revised 2019 Lockdown'!H$5:H$257,MATCH(B65,'Revised 2019 Lockdown'!B$5:B$257,0))</f>
        <v>15.06</v>
      </c>
      <c r="F65" s="7">
        <f>INDEX('Revised 2019 Lockdown'!E$5:E$257,MATCH(B65,'Revised 2019 Lockdown'!B$5:B$257,0))</f>
        <v>15830.2</v>
      </c>
      <c r="G65" s="7">
        <f>INDEX('Revised 2019 Lockdown'!F$5:F$257,MATCH(B65,'Revised 2019 Lockdown'!B$5:B$257,0))</f>
        <v>0</v>
      </c>
      <c r="H65" s="7">
        <f t="shared" si="4"/>
        <v>15830.2</v>
      </c>
      <c r="I65" s="6">
        <f t="shared" si="0"/>
        <v>1051.1420982735724</v>
      </c>
      <c r="J65" s="6">
        <f t="shared" si="5"/>
        <v>1051.1420982735724</v>
      </c>
      <c r="K65" s="5">
        <f t="shared" si="1"/>
        <v>15830.2</v>
      </c>
      <c r="L65" s="4">
        <f t="shared" si="2"/>
        <v>0</v>
      </c>
      <c r="M65" s="2" cm="1">
        <f t="array" ref="M65">SUMPRODUCT(--($L$6:$L$300&lt;&gt;1),--($C$6:$C$300=$C65),$H$6:$H$300)/SUMPRODUCT(--($L$6:$L$300&lt;&gt;1),--($C$6:$C$300=$C65),$E$6:$E$300)</f>
        <v>809.62205731267716</v>
      </c>
      <c r="N65" s="1" cm="1">
        <f t="array" ref="N65">SUMPRODUCT(--($L$6:$L$300&lt;&gt;1),--($C$6:$C$300=$C65))</f>
        <v>49</v>
      </c>
      <c r="O65" s="3">
        <f t="shared" si="6"/>
        <v>58331.930185752513</v>
      </c>
      <c r="P65" s="2" cm="1">
        <f t="array" ref="P65">SQRT(SUMPRODUCT(--($L$6:$L$300&lt;&gt;1),--($C$6:$C$300=$C65),$E$6:$E$300,$O$6:$O$300)/((N65-1)*SUMPRODUCT(--($L$6:$L$300&lt;&gt;1),--($C$6:$C$300=$C65),$E$6:$E$300)/N65))</f>
        <v>552.30327144124203</v>
      </c>
      <c r="Q65" s="2">
        <f t="shared" si="3"/>
        <v>101.8169351417489</v>
      </c>
      <c r="R65" s="2">
        <f t="shared" si="3"/>
        <v>1517.4271794836054</v>
      </c>
      <c r="S65" s="2">
        <f t="shared" si="7"/>
        <v>1051.1420982735724</v>
      </c>
    </row>
    <row r="66" spans="2:19" x14ac:dyDescent="0.35">
      <c r="B66">
        <v>562</v>
      </c>
      <c r="C66" s="17">
        <v>6</v>
      </c>
      <c r="D66" s="22" t="s">
        <v>90</v>
      </c>
      <c r="E66" s="90">
        <f>INDEX('Revised 2019 Lockdown'!H$5:H$257,MATCH(B66,'Revised 2019 Lockdown'!B$5:B$257,0))</f>
        <v>81.472925896153384</v>
      </c>
      <c r="F66" s="7">
        <f>INDEX('Revised 2019 Lockdown'!E$5:E$257,MATCH(B66,'Revised 2019 Lockdown'!B$5:B$257,0))</f>
        <v>48863.76</v>
      </c>
      <c r="G66" s="7">
        <f>INDEX('Revised 2019 Lockdown'!F$5:F$257,MATCH(B66,'Revised 2019 Lockdown'!B$5:B$257,0))</f>
        <v>0</v>
      </c>
      <c r="H66" s="7">
        <f t="shared" si="4"/>
        <v>48863.76</v>
      </c>
      <c r="I66" s="6">
        <f t="shared" si="0"/>
        <v>599.75457444946176</v>
      </c>
      <c r="J66" s="6">
        <f t="shared" si="5"/>
        <v>599.75457444946176</v>
      </c>
      <c r="K66" s="5">
        <f t="shared" si="1"/>
        <v>48863.760000000009</v>
      </c>
      <c r="L66" s="4">
        <f t="shared" si="2"/>
        <v>0</v>
      </c>
      <c r="M66" s="2" cm="1">
        <f t="array" ref="M66">SUMPRODUCT(--($L$6:$L$300&lt;&gt;1),--($C$6:$C$300=$C66),$H$6:$H$300)/SUMPRODUCT(--($L$6:$L$300&lt;&gt;1),--($C$6:$C$300=$C66),$E$6:$E$300)</f>
        <v>809.62205731267716</v>
      </c>
      <c r="N66" s="1" cm="1">
        <f t="array" ref="N66">SUMPRODUCT(--($L$6:$L$300&lt;&gt;1),--($C$6:$C$300=$C66))</f>
        <v>49</v>
      </c>
      <c r="O66" s="3">
        <f t="shared" si="6"/>
        <v>44044.360363342006</v>
      </c>
      <c r="P66" s="2" cm="1">
        <f t="array" ref="P66">SQRT(SUMPRODUCT(--($L$6:$L$300&lt;&gt;1),--($C$6:$C$300=$C66),$E$6:$E$300,$O$6:$O$300)/((N66-1)*SUMPRODUCT(--($L$6:$L$300&lt;&gt;1),--($C$6:$C$300=$C66),$E$6:$E$300)/N66))</f>
        <v>552.30327144124203</v>
      </c>
      <c r="Q66" s="2">
        <f t="shared" si="3"/>
        <v>101.8169351417489</v>
      </c>
      <c r="R66" s="2">
        <f t="shared" si="3"/>
        <v>1517.4271794836054</v>
      </c>
      <c r="S66" s="2">
        <f t="shared" si="7"/>
        <v>599.75457444946176</v>
      </c>
    </row>
    <row r="67" spans="2:19" x14ac:dyDescent="0.35">
      <c r="B67">
        <v>603</v>
      </c>
      <c r="C67" s="17">
        <v>6</v>
      </c>
      <c r="D67" s="22" t="s">
        <v>91</v>
      </c>
      <c r="E67" s="90">
        <f>INDEX('Revised 2019 Lockdown'!H$5:H$257,MATCH(B67,'Revised 2019 Lockdown'!B$5:B$257,0))</f>
        <v>97.242711867752604</v>
      </c>
      <c r="F67" s="7">
        <f>INDEX('Revised 2019 Lockdown'!E$5:E$257,MATCH(B67,'Revised 2019 Lockdown'!B$5:B$257,0))</f>
        <v>86512.44</v>
      </c>
      <c r="G67" s="7">
        <f>INDEX('Revised 2019 Lockdown'!F$5:F$257,MATCH(B67,'Revised 2019 Lockdown'!B$5:B$257,0))</f>
        <v>0</v>
      </c>
      <c r="H67" s="7">
        <f t="shared" si="4"/>
        <v>86512.44</v>
      </c>
      <c r="I67" s="6">
        <f t="shared" si="0"/>
        <v>889.65474469340722</v>
      </c>
      <c r="J67" s="6">
        <f t="shared" si="5"/>
        <v>889.65474469340722</v>
      </c>
      <c r="K67" s="5">
        <f t="shared" si="1"/>
        <v>86512.44</v>
      </c>
      <c r="L67" s="4">
        <f t="shared" si="2"/>
        <v>0</v>
      </c>
      <c r="M67" s="2" cm="1">
        <f t="array" ref="M67">SUMPRODUCT(--($L$6:$L$300&lt;&gt;1),--($C$6:$C$300=$C67),$H$6:$H$300)/SUMPRODUCT(--($L$6:$L$300&lt;&gt;1),--($C$6:$C$300=$C67),$E$6:$E$300)</f>
        <v>809.62205731267716</v>
      </c>
      <c r="N67" s="1" cm="1">
        <f t="array" ref="N67">SUMPRODUCT(--($L$6:$L$300&lt;&gt;1),--($C$6:$C$300=$C67))</f>
        <v>49</v>
      </c>
      <c r="O67" s="3">
        <f t="shared" si="6"/>
        <v>6405.2310493816694</v>
      </c>
      <c r="P67" s="2" cm="1">
        <f t="array" ref="P67">SQRT(SUMPRODUCT(--($L$6:$L$300&lt;&gt;1),--($C$6:$C$300=$C67),$E$6:$E$300,$O$6:$O$300)/((N67-1)*SUMPRODUCT(--($L$6:$L$300&lt;&gt;1),--($C$6:$C$300=$C67),$E$6:$E$300)/N67))</f>
        <v>552.30327144124203</v>
      </c>
      <c r="Q67" s="2">
        <f t="shared" si="3"/>
        <v>101.8169351417489</v>
      </c>
      <c r="R67" s="2">
        <f t="shared" si="3"/>
        <v>1517.4271794836054</v>
      </c>
      <c r="S67" s="2">
        <f t="shared" si="7"/>
        <v>889.65474469340722</v>
      </c>
    </row>
    <row r="68" spans="2:19" x14ac:dyDescent="0.35">
      <c r="B68">
        <v>618</v>
      </c>
      <c r="C68" s="17">
        <v>6</v>
      </c>
      <c r="D68" s="22" t="s">
        <v>92</v>
      </c>
      <c r="E68" s="90">
        <f>INDEX('Revised 2019 Lockdown'!H$5:H$257,MATCH(B68,'Revised 2019 Lockdown'!B$5:B$257,0))</f>
        <v>17.61132857645476</v>
      </c>
      <c r="F68" s="7">
        <f>INDEX('Revised 2019 Lockdown'!E$5:E$257,MATCH(B68,'Revised 2019 Lockdown'!B$5:B$257,0))</f>
        <v>17288.669999999998</v>
      </c>
      <c r="G68" s="7">
        <f>INDEX('Revised 2019 Lockdown'!F$5:F$257,MATCH(B68,'Revised 2019 Lockdown'!B$5:B$257,0))</f>
        <v>0</v>
      </c>
      <c r="H68" s="7">
        <f t="shared" si="4"/>
        <v>17288.669999999998</v>
      </c>
      <c r="I68" s="6">
        <f t="shared" si="0"/>
        <v>981.67891905178942</v>
      </c>
      <c r="J68" s="6">
        <f t="shared" si="5"/>
        <v>981.67891905178942</v>
      </c>
      <c r="K68" s="5">
        <f t="shared" si="1"/>
        <v>17288.669999999998</v>
      </c>
      <c r="L68" s="4">
        <f t="shared" si="2"/>
        <v>0</v>
      </c>
      <c r="M68" s="2" cm="1">
        <f t="array" ref="M68">SUMPRODUCT(--($L$6:$L$300&lt;&gt;1),--($C$6:$C$300=$C68),$H$6:$H$300)/SUMPRODUCT(--($L$6:$L$300&lt;&gt;1),--($C$6:$C$300=$C68),$E$6:$E$300)</f>
        <v>809.62205731267716</v>
      </c>
      <c r="N68" s="1" cm="1">
        <f t="array" ref="N68">SUMPRODUCT(--($L$6:$L$300&lt;&gt;1),--($C$6:$C$300=$C68))</f>
        <v>49</v>
      </c>
      <c r="O68" s="3">
        <f t="shared" si="6"/>
        <v>29603.563671511994</v>
      </c>
      <c r="P68" s="2" cm="1">
        <f t="array" ref="P68">SQRT(SUMPRODUCT(--($L$6:$L$300&lt;&gt;1),--($C$6:$C$300=$C68),$E$6:$E$300,$O$6:$O$300)/((N68-1)*SUMPRODUCT(--($L$6:$L$300&lt;&gt;1),--($C$6:$C$300=$C68),$E$6:$E$300)/N68))</f>
        <v>552.30327144124203</v>
      </c>
      <c r="Q68" s="2">
        <f t="shared" si="3"/>
        <v>101.8169351417489</v>
      </c>
      <c r="R68" s="2">
        <f t="shared" si="3"/>
        <v>1517.4271794836054</v>
      </c>
      <c r="S68" s="2">
        <f t="shared" si="7"/>
        <v>981.67891905178942</v>
      </c>
    </row>
    <row r="69" spans="2:19" x14ac:dyDescent="0.35">
      <c r="B69">
        <v>620</v>
      </c>
      <c r="C69" s="17">
        <v>6</v>
      </c>
      <c r="D69" s="22" t="s">
        <v>93</v>
      </c>
      <c r="E69" s="90">
        <f>INDEX('Revised 2019 Lockdown'!H$5:H$257,MATCH(B69,'Revised 2019 Lockdown'!B$5:B$257,0))</f>
        <v>235.76910512683102</v>
      </c>
      <c r="F69" s="7">
        <f>INDEX('Revised 2019 Lockdown'!E$5:E$257,MATCH(B69,'Revised 2019 Lockdown'!B$5:B$257,0))</f>
        <v>122866.55</v>
      </c>
      <c r="G69" s="7">
        <f>INDEX('Revised 2019 Lockdown'!F$5:F$257,MATCH(B69,'Revised 2019 Lockdown'!B$5:B$257,0))</f>
        <v>0</v>
      </c>
      <c r="H69" s="7">
        <f t="shared" si="4"/>
        <v>122866.55</v>
      </c>
      <c r="I69" s="6">
        <f t="shared" si="0"/>
        <v>521.13083236204523</v>
      </c>
      <c r="J69" s="6">
        <f t="shared" si="5"/>
        <v>521.13083236204523</v>
      </c>
      <c r="K69" s="5">
        <f t="shared" si="1"/>
        <v>122866.54999999999</v>
      </c>
      <c r="L69" s="4">
        <f t="shared" si="2"/>
        <v>0</v>
      </c>
      <c r="M69" s="2" cm="1">
        <f t="array" ref="M69">SUMPRODUCT(--($L$6:$L$300&lt;&gt;1),--($C$6:$C$300=$C69),$H$6:$H$300)/SUMPRODUCT(--($L$6:$L$300&lt;&gt;1),--($C$6:$C$300=$C69),$E$6:$E$300)</f>
        <v>809.62205731267716</v>
      </c>
      <c r="N69" s="1" cm="1">
        <f t="array" ref="N69">SUMPRODUCT(--($L$6:$L$300&lt;&gt;1),--($C$6:$C$300=$C69))</f>
        <v>49</v>
      </c>
      <c r="O69" s="3">
        <f t="shared" si="6"/>
        <v>83227.186873516112</v>
      </c>
      <c r="P69" s="2" cm="1">
        <f t="array" ref="P69">SQRT(SUMPRODUCT(--($L$6:$L$300&lt;&gt;1),--($C$6:$C$300=$C69),$E$6:$E$300,$O$6:$O$300)/((N69-1)*SUMPRODUCT(--($L$6:$L$300&lt;&gt;1),--($C$6:$C$300=$C69),$E$6:$E$300)/N69))</f>
        <v>552.30327144124203</v>
      </c>
      <c r="Q69" s="2">
        <f t="shared" si="3"/>
        <v>101.8169351417489</v>
      </c>
      <c r="R69" s="2">
        <f t="shared" si="3"/>
        <v>1517.4271794836054</v>
      </c>
      <c r="S69" s="2">
        <f t="shared" si="7"/>
        <v>521.13083236204523</v>
      </c>
    </row>
    <row r="70" spans="2:19" x14ac:dyDescent="0.35">
      <c r="B70">
        <v>622</v>
      </c>
      <c r="C70" s="17">
        <v>6</v>
      </c>
      <c r="D70" s="22" t="s">
        <v>94</v>
      </c>
      <c r="E70" s="90">
        <f>INDEX('Revised 2019 Lockdown'!H$5:H$257,MATCH(B70,'Revised 2019 Lockdown'!B$5:B$257,0))</f>
        <v>122.59818725735381</v>
      </c>
      <c r="F70" s="7">
        <f>INDEX('Revised 2019 Lockdown'!E$5:E$257,MATCH(B70,'Revised 2019 Lockdown'!B$5:B$257,0))</f>
        <v>83536.710000000006</v>
      </c>
      <c r="G70" s="7">
        <f>INDEX('Revised 2019 Lockdown'!F$5:F$257,MATCH(B70,'Revised 2019 Lockdown'!B$5:B$257,0))</f>
        <v>396</v>
      </c>
      <c r="H70" s="7">
        <f t="shared" si="4"/>
        <v>83140.710000000006</v>
      </c>
      <c r="I70" s="6">
        <f t="shared" ref="I70:I133" si="8">H70/E70</f>
        <v>678.15611192907727</v>
      </c>
      <c r="J70" s="6">
        <f t="shared" si="5"/>
        <v>678.15611192907727</v>
      </c>
      <c r="K70" s="5">
        <f t="shared" ref="K70:K133" si="9">J70*E70</f>
        <v>83140.710000000006</v>
      </c>
      <c r="L70" s="4">
        <f t="shared" ref="L70:L133" si="10">IF(ISERROR(I70),1,0)</f>
        <v>0</v>
      </c>
      <c r="M70" s="2" cm="1">
        <f t="array" ref="M70">SUMPRODUCT(--($L$6:$L$300&lt;&gt;1),--($C$6:$C$300=$C70),$H$6:$H$300)/SUMPRODUCT(--($L$6:$L$300&lt;&gt;1),--($C$6:$C$300=$C70),$E$6:$E$300)</f>
        <v>809.62205731267716</v>
      </c>
      <c r="N70" s="1" cm="1">
        <f t="array" ref="N70">SUMPRODUCT(--($L$6:$L$300&lt;&gt;1),--($C$6:$C$300=$C70))</f>
        <v>49</v>
      </c>
      <c r="O70" s="3">
        <f t="shared" si="6"/>
        <v>17283.29479560367</v>
      </c>
      <c r="P70" s="2" cm="1">
        <f t="array" ref="P70">SQRT(SUMPRODUCT(--($L$6:$L$300&lt;&gt;1),--($C$6:$C$300=$C70),$E$6:$E$300,$O$6:$O$300)/((N70-1)*SUMPRODUCT(--($L$6:$L$300&lt;&gt;1),--($C$6:$C$300=$C70),$E$6:$E$300)/N70))</f>
        <v>552.30327144124203</v>
      </c>
      <c r="Q70" s="2">
        <f t="shared" si="3"/>
        <v>101.8169351417489</v>
      </c>
      <c r="R70" s="2">
        <f t="shared" si="3"/>
        <v>1517.4271794836054</v>
      </c>
      <c r="S70" s="2">
        <f t="shared" si="7"/>
        <v>678.15611192907727</v>
      </c>
    </row>
    <row r="71" spans="2:19" x14ac:dyDescent="0.35">
      <c r="B71">
        <v>623</v>
      </c>
      <c r="C71" s="17">
        <v>6</v>
      </c>
      <c r="D71" s="22" t="s">
        <v>95</v>
      </c>
      <c r="E71" s="90">
        <f>INDEX('Revised 2019 Lockdown'!H$5:H$257,MATCH(B71,'Revised 2019 Lockdown'!B$5:B$257,0))</f>
        <v>230.09002718232705</v>
      </c>
      <c r="F71" s="7">
        <f>INDEX('Revised 2019 Lockdown'!E$5:E$257,MATCH(B71,'Revised 2019 Lockdown'!B$5:B$257,0))</f>
        <v>79811.240000000005</v>
      </c>
      <c r="G71" s="7">
        <f>INDEX('Revised 2019 Lockdown'!F$5:F$257,MATCH(B71,'Revised 2019 Lockdown'!B$5:B$257,0))</f>
        <v>0</v>
      </c>
      <c r="H71" s="7">
        <f t="shared" ref="H71:H134" si="11">F71-G71</f>
        <v>79811.240000000005</v>
      </c>
      <c r="I71" s="6">
        <f t="shared" si="8"/>
        <v>346.86961871996431</v>
      </c>
      <c r="J71" s="6">
        <f t="shared" ref="J71:J134" si="12">IF(ISERROR(IF($J$2=1,MAX(MIN(I71,R71),Q71),MIN(I71,R71))),R71,IF($J$2=1,MAX(MIN(I71,R71),Q71),MIN(I71,R71)))</f>
        <v>346.86961871996431</v>
      </c>
      <c r="K71" s="5">
        <f t="shared" si="9"/>
        <v>79811.240000000005</v>
      </c>
      <c r="L71" s="4">
        <f t="shared" si="10"/>
        <v>0</v>
      </c>
      <c r="M71" s="2" cm="1">
        <f t="array" ref="M71">SUMPRODUCT(--($L$6:$L$300&lt;&gt;1),--($C$6:$C$300=$C71),$H$6:$H$300)/SUMPRODUCT(--($L$6:$L$300&lt;&gt;1),--($C$6:$C$300=$C71),$E$6:$E$300)</f>
        <v>809.62205731267716</v>
      </c>
      <c r="N71" s="1" cm="1">
        <f t="array" ref="N71">SUMPRODUCT(--($L$6:$L$300&lt;&gt;1),--($C$6:$C$300=$C71))</f>
        <v>49</v>
      </c>
      <c r="O71" s="3">
        <f t="shared" ref="O71:O134" si="13">IF(ISERROR((I71-M71)^2),0,(I71-M71)^2)</f>
        <v>214139.81942350249</v>
      </c>
      <c r="P71" s="2" cm="1">
        <f t="array" ref="P71">SQRT(SUMPRODUCT(--($L$6:$L$300&lt;&gt;1),--($C$6:$C$300=$C71),$E$6:$E$300,$O$6:$O$300)/((N71-1)*SUMPRODUCT(--($L$6:$L$300&lt;&gt;1),--($C$6:$C$300=$C71),$E$6:$E$300)/N71))</f>
        <v>552.30327144124203</v>
      </c>
      <c r="Q71" s="2">
        <f t="shared" si="3"/>
        <v>101.8169351417489</v>
      </c>
      <c r="R71" s="2">
        <f t="shared" si="3"/>
        <v>1517.4271794836054</v>
      </c>
      <c r="S71" s="2">
        <f t="shared" ref="S71:S134" si="14">IF(ISERROR(MAX(MIN(I71,R71),Q71)),R71,MAX(MIN(I71,R71),Q71))</f>
        <v>346.86961871996431</v>
      </c>
    </row>
    <row r="72" spans="2:19" x14ac:dyDescent="0.35">
      <c r="B72">
        <v>626</v>
      </c>
      <c r="C72" s="17">
        <v>6</v>
      </c>
      <c r="D72" s="22" t="s">
        <v>96</v>
      </c>
      <c r="E72" s="90">
        <f>INDEX('Revised 2019 Lockdown'!H$5:H$257,MATCH(B72,'Revised 2019 Lockdown'!B$5:B$257,0))</f>
        <v>21.510599845182803</v>
      </c>
      <c r="F72" s="7">
        <f>INDEX('Revised 2019 Lockdown'!E$5:E$257,MATCH(B72,'Revised 2019 Lockdown'!B$5:B$257,0))</f>
        <v>17900.14</v>
      </c>
      <c r="G72" s="7">
        <f>INDEX('Revised 2019 Lockdown'!F$5:F$257,MATCH(B72,'Revised 2019 Lockdown'!B$5:B$257,0))</f>
        <v>0</v>
      </c>
      <c r="H72" s="7">
        <f t="shared" si="11"/>
        <v>17900.14</v>
      </c>
      <c r="I72" s="6">
        <f t="shared" si="8"/>
        <v>832.15438569039497</v>
      </c>
      <c r="J72" s="6">
        <f t="shared" si="12"/>
        <v>832.15438569039497</v>
      </c>
      <c r="K72" s="5">
        <f t="shared" si="9"/>
        <v>17900.14</v>
      </c>
      <c r="L72" s="4">
        <f t="shared" si="10"/>
        <v>0</v>
      </c>
      <c r="M72" s="2" cm="1">
        <f t="array" ref="M72">SUMPRODUCT(--($L$6:$L$300&lt;&gt;1),--($C$6:$C$300=$C72),$H$6:$H$300)/SUMPRODUCT(--($L$6:$L$300&lt;&gt;1),--($C$6:$C$300=$C72),$E$6:$E$300)</f>
        <v>809.62205731267716</v>
      </c>
      <c r="N72" s="1" cm="1">
        <f t="array" ref="N72">SUMPRODUCT(--($L$6:$L$300&lt;&gt;1),--($C$6:$C$300=$C72))</f>
        <v>49</v>
      </c>
      <c r="O72" s="3">
        <f t="shared" si="13"/>
        <v>507.70582212130768</v>
      </c>
      <c r="P72" s="2" cm="1">
        <f t="array" ref="P72">SQRT(SUMPRODUCT(--($L$6:$L$300&lt;&gt;1),--($C$6:$C$300=$C72),$E$6:$E$300,$O$6:$O$300)/((N72-1)*SUMPRODUCT(--($L$6:$L$300&lt;&gt;1),--($C$6:$C$300=$C72),$E$6:$E$300)/N72))</f>
        <v>552.30327144124203</v>
      </c>
      <c r="Q72" s="2">
        <f t="shared" si="3"/>
        <v>101.8169351417489</v>
      </c>
      <c r="R72" s="2">
        <f t="shared" si="3"/>
        <v>1517.4271794836054</v>
      </c>
      <c r="S72" s="2">
        <f t="shared" si="14"/>
        <v>832.15438569039497</v>
      </c>
    </row>
    <row r="73" spans="2:19" x14ac:dyDescent="0.35">
      <c r="B73">
        <v>627</v>
      </c>
      <c r="C73" s="17">
        <v>6</v>
      </c>
      <c r="D73" s="22" t="s">
        <v>97</v>
      </c>
      <c r="E73" s="90">
        <f>INDEX('Revised 2019 Lockdown'!H$5:H$257,MATCH(B73,'Revised 2019 Lockdown'!B$5:B$257,0))</f>
        <v>166.68530619268788</v>
      </c>
      <c r="F73" s="7">
        <f>INDEX('Revised 2019 Lockdown'!E$5:E$257,MATCH(B73,'Revised 2019 Lockdown'!B$5:B$257,0))</f>
        <v>81020.789999999994</v>
      </c>
      <c r="G73" s="7">
        <f>INDEX('Revised 2019 Lockdown'!F$5:F$257,MATCH(B73,'Revised 2019 Lockdown'!B$5:B$257,0))</f>
        <v>0</v>
      </c>
      <c r="H73" s="7">
        <f t="shared" si="11"/>
        <v>81020.789999999994</v>
      </c>
      <c r="I73" s="6">
        <f t="shared" si="8"/>
        <v>486.07037927110457</v>
      </c>
      <c r="J73" s="6">
        <f t="shared" si="12"/>
        <v>486.07037927110457</v>
      </c>
      <c r="K73" s="5">
        <f t="shared" si="9"/>
        <v>81020.789999999994</v>
      </c>
      <c r="L73" s="4">
        <f t="shared" si="10"/>
        <v>0</v>
      </c>
      <c r="M73" s="2" cm="1">
        <f t="array" ref="M73">SUMPRODUCT(--($L$6:$L$300&lt;&gt;1),--($C$6:$C$300=$C73),$H$6:$H$300)/SUMPRODUCT(--($L$6:$L$300&lt;&gt;1),--($C$6:$C$300=$C73),$E$6:$E$300)</f>
        <v>809.62205731267716</v>
      </c>
      <c r="N73" s="1" cm="1">
        <f t="array" ref="N73">SUMPRODUCT(--($L$6:$L$300&lt;&gt;1),--($C$6:$C$300=$C73))</f>
        <v>49</v>
      </c>
      <c r="O73" s="3">
        <f t="shared" si="13"/>
        <v>104685.68836351745</v>
      </c>
      <c r="P73" s="2" cm="1">
        <f t="array" ref="P73">SQRT(SUMPRODUCT(--($L$6:$L$300&lt;&gt;1),--($C$6:$C$300=$C73),$E$6:$E$300,$O$6:$O$300)/((N73-1)*SUMPRODUCT(--($L$6:$L$300&lt;&gt;1),--($C$6:$C$300=$C73),$E$6:$E$300)/N73))</f>
        <v>552.30327144124203</v>
      </c>
      <c r="Q73" s="2">
        <f t="shared" si="3"/>
        <v>101.8169351417489</v>
      </c>
      <c r="R73" s="2">
        <f t="shared" si="3"/>
        <v>1517.4271794836054</v>
      </c>
      <c r="S73" s="2">
        <f t="shared" si="14"/>
        <v>486.07037927110457</v>
      </c>
    </row>
    <row r="74" spans="2:19" x14ac:dyDescent="0.35">
      <c r="B74">
        <v>634</v>
      </c>
      <c r="C74" s="17">
        <v>6</v>
      </c>
      <c r="D74" s="22" t="s">
        <v>98</v>
      </c>
      <c r="E74" s="90">
        <f>INDEX('Revised 2019 Lockdown'!H$5:H$257,MATCH(B74,'Revised 2019 Lockdown'!B$5:B$257,0))</f>
        <v>627.63252780769471</v>
      </c>
      <c r="F74" s="7">
        <f>INDEX('Revised 2019 Lockdown'!E$5:E$257,MATCH(B74,'Revised 2019 Lockdown'!B$5:B$257,0))</f>
        <v>651840.68999999994</v>
      </c>
      <c r="G74" s="7">
        <f>INDEX('Revised 2019 Lockdown'!F$5:F$257,MATCH(B74,'Revised 2019 Lockdown'!B$5:B$257,0))</f>
        <v>0</v>
      </c>
      <c r="H74" s="7">
        <f t="shared" si="11"/>
        <v>651840.68999999994</v>
      </c>
      <c r="I74" s="6">
        <f t="shared" si="8"/>
        <v>1038.5705984310018</v>
      </c>
      <c r="J74" s="6">
        <f t="shared" si="12"/>
        <v>1038.5705984310018</v>
      </c>
      <c r="K74" s="5">
        <f t="shared" si="9"/>
        <v>651840.68999999994</v>
      </c>
      <c r="L74" s="4">
        <f t="shared" si="10"/>
        <v>0</v>
      </c>
      <c r="M74" s="2" cm="1">
        <f t="array" ref="M74">SUMPRODUCT(--($L$6:$L$300&lt;&gt;1),--($C$6:$C$300=$C74),$H$6:$H$300)/SUMPRODUCT(--($L$6:$L$300&lt;&gt;1),--($C$6:$C$300=$C74),$E$6:$E$300)</f>
        <v>809.62205731267716</v>
      </c>
      <c r="N74" s="1" cm="1">
        <f t="array" ref="N74">SUMPRODUCT(--($L$6:$L$300&lt;&gt;1),--($C$6:$C$300=$C74))</f>
        <v>49</v>
      </c>
      <c r="O74" s="3">
        <f t="shared" si="13"/>
        <v>52417.434480209202</v>
      </c>
      <c r="P74" s="2" cm="1">
        <f t="array" ref="P74">SQRT(SUMPRODUCT(--($L$6:$L$300&lt;&gt;1),--($C$6:$C$300=$C74),$E$6:$E$300,$O$6:$O$300)/((N74-1)*SUMPRODUCT(--($L$6:$L$300&lt;&gt;1),--($C$6:$C$300=$C74),$E$6:$E$300)/N74))</f>
        <v>552.30327144124203</v>
      </c>
      <c r="Q74" s="2">
        <f t="shared" si="3"/>
        <v>101.8169351417489</v>
      </c>
      <c r="R74" s="2">
        <f t="shared" si="3"/>
        <v>1517.4271794836054</v>
      </c>
      <c r="S74" s="2">
        <f t="shared" si="14"/>
        <v>1038.5705984310018</v>
      </c>
    </row>
    <row r="75" spans="2:19" x14ac:dyDescent="0.35">
      <c r="B75">
        <v>636</v>
      </c>
      <c r="C75" s="17">
        <v>6</v>
      </c>
      <c r="D75" s="22" t="s">
        <v>346</v>
      </c>
      <c r="E75" s="90">
        <f>INDEX('Revised 2019 Lockdown'!H$5:H$257,MATCH(B75,'Revised 2019 Lockdown'!B$5:B$257,0))</f>
        <v>71.040896564249138</v>
      </c>
      <c r="F75" s="7">
        <f>INDEX('Revised 2019 Lockdown'!E$5:E$257,MATCH(B75,'Revised 2019 Lockdown'!B$5:B$257,0))</f>
        <v>82605.94</v>
      </c>
      <c r="G75" s="7">
        <f>INDEX('Revised 2019 Lockdown'!F$5:F$257,MATCH(B75,'Revised 2019 Lockdown'!B$5:B$257,0))</f>
        <v>76356</v>
      </c>
      <c r="H75" s="7">
        <f t="shared" si="11"/>
        <v>6249.9400000000023</v>
      </c>
      <c r="I75" s="6">
        <f t="shared" si="8"/>
        <v>87.976648694848308</v>
      </c>
      <c r="J75" s="6">
        <f t="shared" si="12"/>
        <v>87.976648694848308</v>
      </c>
      <c r="K75" s="5">
        <f t="shared" si="9"/>
        <v>6249.9400000000023</v>
      </c>
      <c r="L75" s="4">
        <f t="shared" si="10"/>
        <v>0</v>
      </c>
      <c r="M75" s="2" cm="1">
        <f t="array" ref="M75">SUMPRODUCT(--($L$6:$L$300&lt;&gt;1),--($C$6:$C$300=$C75),$H$6:$H$300)/SUMPRODUCT(--($L$6:$L$300&lt;&gt;1),--($C$6:$C$300=$C75),$E$6:$E$300)</f>
        <v>809.62205731267716</v>
      </c>
      <c r="N75" s="1" cm="1">
        <f t="array" ref="N75">SUMPRODUCT(--($L$6:$L$300&lt;&gt;1),--($C$6:$C$300=$C75))</f>
        <v>49</v>
      </c>
      <c r="O75" s="3">
        <f t="shared" si="13"/>
        <v>520772.0957791931</v>
      </c>
      <c r="P75" s="2" cm="1">
        <f t="array" ref="P75">SQRT(SUMPRODUCT(--($L$6:$L$300&lt;&gt;1),--($C$6:$C$300=$C75),$E$6:$E$300,$O$6:$O$300)/((N75-1)*SUMPRODUCT(--($L$6:$L$300&lt;&gt;1),--($C$6:$C$300=$C75),$E$6:$E$300)/N75))</f>
        <v>552.30327144124203</v>
      </c>
      <c r="Q75" s="2">
        <f t="shared" si="3"/>
        <v>101.8169351417489</v>
      </c>
      <c r="R75" s="2">
        <f t="shared" si="3"/>
        <v>1517.4271794836054</v>
      </c>
      <c r="S75" s="2">
        <f t="shared" si="14"/>
        <v>101.8169351417489</v>
      </c>
    </row>
    <row r="76" spans="2:19" x14ac:dyDescent="0.35">
      <c r="B76">
        <v>641</v>
      </c>
      <c r="C76" s="17">
        <v>6</v>
      </c>
      <c r="D76" s="22" t="s">
        <v>100</v>
      </c>
      <c r="E76" s="90">
        <f>INDEX('Revised 2019 Lockdown'!H$5:H$257,MATCH(B76,'Revised 2019 Lockdown'!B$5:B$257,0))</f>
        <v>7.6885978325592479</v>
      </c>
      <c r="F76" s="7">
        <f>INDEX('Revised 2019 Lockdown'!E$5:E$257,MATCH(B76,'Revised 2019 Lockdown'!B$5:B$257,0))</f>
        <v>28951.200000000001</v>
      </c>
      <c r="G76" s="7">
        <f>INDEX('Revised 2019 Lockdown'!F$5:F$257,MATCH(B76,'Revised 2019 Lockdown'!B$5:B$257,0))</f>
        <v>0</v>
      </c>
      <c r="H76" s="7">
        <f t="shared" si="11"/>
        <v>28951.200000000001</v>
      </c>
      <c r="I76" s="6">
        <f t="shared" si="8"/>
        <v>3765.4720184997923</v>
      </c>
      <c r="J76" s="6">
        <f t="shared" si="12"/>
        <v>1517.4271794836054</v>
      </c>
      <c r="K76" s="5">
        <f t="shared" si="9"/>
        <v>11666.887323244142</v>
      </c>
      <c r="L76" s="4">
        <f t="shared" si="10"/>
        <v>0</v>
      </c>
      <c r="M76" s="2" cm="1">
        <f t="array" ref="M76">SUMPRODUCT(--($L$6:$L$300&lt;&gt;1),--($C$6:$C$300=$C76),$H$6:$H$300)/SUMPRODUCT(--($L$6:$L$300&lt;&gt;1),--($C$6:$C$300=$C76),$E$6:$E$300)</f>
        <v>809.62205731267716</v>
      </c>
      <c r="N76" s="1" cm="1">
        <f t="array" ref="N76">SUMPRODUCT(--($L$6:$L$300&lt;&gt;1),--($C$6:$C$300=$C76))</f>
        <v>49</v>
      </c>
      <c r="O76" s="3">
        <f t="shared" si="13"/>
        <v>8737048.9930498712</v>
      </c>
      <c r="P76" s="2" cm="1">
        <f t="array" ref="P76">SQRT(SUMPRODUCT(--($L$6:$L$300&lt;&gt;1),--($C$6:$C$300=$C76),$E$6:$E$300,$O$6:$O$300)/((N76-1)*SUMPRODUCT(--($L$6:$L$300&lt;&gt;1),--($C$6:$C$300=$C76),$E$6:$E$300)/N76))</f>
        <v>552.30327144124203</v>
      </c>
      <c r="Q76" s="2">
        <f t="shared" si="3"/>
        <v>101.8169351417489</v>
      </c>
      <c r="R76" s="2">
        <f t="shared" si="3"/>
        <v>1517.4271794836054</v>
      </c>
      <c r="S76" s="2">
        <f t="shared" si="14"/>
        <v>1517.4271794836054</v>
      </c>
    </row>
    <row r="77" spans="2:19" x14ac:dyDescent="0.35">
      <c r="B77">
        <v>694</v>
      </c>
      <c r="C77" s="17">
        <v>6</v>
      </c>
      <c r="D77" s="22" t="s">
        <v>103</v>
      </c>
      <c r="E77" s="90">
        <f>INDEX('Revised 2019 Lockdown'!H$5:H$257,MATCH(B77,'Revised 2019 Lockdown'!B$5:B$257,0))</f>
        <v>13.652301912467729</v>
      </c>
      <c r="F77" s="7">
        <f>INDEX('Revised 2019 Lockdown'!E$5:E$257,MATCH(B77,'Revised 2019 Lockdown'!B$5:B$257,0))</f>
        <v>89610.08</v>
      </c>
      <c r="G77" s="7">
        <f>INDEX('Revised 2019 Lockdown'!F$5:F$257,MATCH(B77,'Revised 2019 Lockdown'!B$5:B$257,0))</f>
        <v>0</v>
      </c>
      <c r="H77" s="7">
        <f t="shared" si="11"/>
        <v>89610.08</v>
      </c>
      <c r="I77" s="6">
        <f t="shared" si="8"/>
        <v>6563.7341288332582</v>
      </c>
      <c r="J77" s="6">
        <f t="shared" si="12"/>
        <v>1517.4271794836054</v>
      </c>
      <c r="K77" s="5">
        <f t="shared" si="9"/>
        <v>20716.373984494538</v>
      </c>
      <c r="L77" s="4">
        <f t="shared" si="10"/>
        <v>0</v>
      </c>
      <c r="M77" s="2" cm="1">
        <f t="array" ref="M77">SUMPRODUCT(--($L$6:$L$300&lt;&gt;1),--($C$6:$C$300=$C77),$H$6:$H$300)/SUMPRODUCT(--($L$6:$L$300&lt;&gt;1),--($C$6:$C$300=$C77),$E$6:$E$300)</f>
        <v>809.62205731267716</v>
      </c>
      <c r="N77" s="1" cm="1">
        <f t="array" ref="N77">SUMPRODUCT(--($L$6:$L$300&lt;&gt;1),--($C$6:$C$300=$C77))</f>
        <v>49</v>
      </c>
      <c r="O77" s="3">
        <f t="shared" si="13"/>
        <v>33109805.73161887</v>
      </c>
      <c r="P77" s="2" cm="1">
        <f t="array" ref="P77">SQRT(SUMPRODUCT(--($L$6:$L$300&lt;&gt;1),--($C$6:$C$300=$C77),$E$6:$E$300,$O$6:$O$300)/((N77-1)*SUMPRODUCT(--($L$6:$L$300&lt;&gt;1),--($C$6:$C$300=$C77),$E$6:$E$300)/N77))</f>
        <v>552.30327144124203</v>
      </c>
      <c r="Q77" s="2">
        <f t="shared" si="3"/>
        <v>101.8169351417489</v>
      </c>
      <c r="R77" s="2">
        <f t="shared" si="3"/>
        <v>1517.4271794836054</v>
      </c>
      <c r="S77" s="2">
        <f t="shared" si="14"/>
        <v>1517.4271794836054</v>
      </c>
    </row>
    <row r="78" spans="2:19" x14ac:dyDescent="0.35">
      <c r="B78">
        <v>706</v>
      </c>
      <c r="C78" s="17">
        <v>6</v>
      </c>
      <c r="D78" s="22" t="s">
        <v>104</v>
      </c>
      <c r="E78" s="90">
        <f>INDEX('Revised 2019 Lockdown'!H$5:H$257,MATCH(B78,'Revised 2019 Lockdown'!B$5:B$257,0))</f>
        <v>56.018113935987294</v>
      </c>
      <c r="F78" s="7">
        <f>INDEX('Revised 2019 Lockdown'!E$5:E$257,MATCH(B78,'Revised 2019 Lockdown'!B$5:B$257,0))</f>
        <v>63477.03</v>
      </c>
      <c r="G78" s="7">
        <f>INDEX('Revised 2019 Lockdown'!F$5:F$257,MATCH(B78,'Revised 2019 Lockdown'!B$5:B$257,0))</f>
        <v>0</v>
      </c>
      <c r="H78" s="7">
        <f t="shared" si="11"/>
        <v>63477.03</v>
      </c>
      <c r="I78" s="6">
        <f t="shared" si="8"/>
        <v>1133.1518599954313</v>
      </c>
      <c r="J78" s="6">
        <f t="shared" si="12"/>
        <v>1133.1518599954313</v>
      </c>
      <c r="K78" s="5">
        <f t="shared" si="9"/>
        <v>63477.029999999992</v>
      </c>
      <c r="L78" s="4">
        <f t="shared" si="10"/>
        <v>0</v>
      </c>
      <c r="M78" s="2" cm="1">
        <f t="array" ref="M78">SUMPRODUCT(--($L$6:$L$300&lt;&gt;1),--($C$6:$C$300=$C78),$H$6:$H$300)/SUMPRODUCT(--($L$6:$L$300&lt;&gt;1),--($C$6:$C$300=$C78),$E$6:$E$300)</f>
        <v>809.62205731267716</v>
      </c>
      <c r="N78" s="1" cm="1">
        <f t="array" ref="N78">SUMPRODUCT(--($L$6:$L$300&lt;&gt;1),--($C$6:$C$300=$C78))</f>
        <v>49</v>
      </c>
      <c r="O78" s="3">
        <f t="shared" si="13"/>
        <v>104671.53322394185</v>
      </c>
      <c r="P78" s="2" cm="1">
        <f t="array" ref="P78">SQRT(SUMPRODUCT(--($L$6:$L$300&lt;&gt;1),--($C$6:$C$300=$C78),$E$6:$E$300,$O$6:$O$300)/((N78-1)*SUMPRODUCT(--($L$6:$L$300&lt;&gt;1),--($C$6:$C$300=$C78),$E$6:$E$300)/N78))</f>
        <v>552.30327144124203</v>
      </c>
      <c r="Q78" s="2">
        <f t="shared" si="3"/>
        <v>101.8169351417489</v>
      </c>
      <c r="R78" s="2">
        <f t="shared" si="3"/>
        <v>1517.4271794836054</v>
      </c>
      <c r="S78" s="2">
        <f t="shared" si="14"/>
        <v>1133.1518599954313</v>
      </c>
    </row>
    <row r="79" spans="2:19" x14ac:dyDescent="0.35">
      <c r="B79">
        <v>710</v>
      </c>
      <c r="C79" s="17">
        <v>6</v>
      </c>
      <c r="D79" s="22" t="s">
        <v>105</v>
      </c>
      <c r="E79" s="90">
        <f>INDEX('Revised 2019 Lockdown'!H$5:H$257,MATCH(B79,'Revised 2019 Lockdown'!B$5:B$257,0))</f>
        <v>69.210000000000008</v>
      </c>
      <c r="F79" s="7">
        <f>INDEX('Revised 2019 Lockdown'!E$5:E$257,MATCH(B79,'Revised 2019 Lockdown'!B$5:B$257,0))</f>
        <v>68111.539999999994</v>
      </c>
      <c r="G79" s="7">
        <f>INDEX('Revised 2019 Lockdown'!F$5:F$257,MATCH(B79,'Revised 2019 Lockdown'!B$5:B$257,0))</f>
        <v>0</v>
      </c>
      <c r="H79" s="7">
        <f t="shared" si="11"/>
        <v>68111.539999999994</v>
      </c>
      <c r="I79" s="6">
        <f t="shared" si="8"/>
        <v>984.12859413379545</v>
      </c>
      <c r="J79" s="6">
        <f t="shared" si="12"/>
        <v>984.12859413379545</v>
      </c>
      <c r="K79" s="5">
        <f t="shared" si="9"/>
        <v>68111.539999999994</v>
      </c>
      <c r="L79" s="4">
        <f t="shared" si="10"/>
        <v>0</v>
      </c>
      <c r="M79" s="2" cm="1">
        <f t="array" ref="M79">SUMPRODUCT(--($L$6:$L$300&lt;&gt;1),--($C$6:$C$300=$C79),$H$6:$H$300)/SUMPRODUCT(--($L$6:$L$300&lt;&gt;1),--($C$6:$C$300=$C79),$E$6:$E$300)</f>
        <v>809.62205731267716</v>
      </c>
      <c r="N79" s="1" cm="1">
        <f t="array" ref="N79">SUMPRODUCT(--($L$6:$L$300&lt;&gt;1),--($C$6:$C$300=$C79))</f>
        <v>49</v>
      </c>
      <c r="O79" s="3">
        <f t="shared" si="13"/>
        <v>30452.531393300313</v>
      </c>
      <c r="P79" s="2" cm="1">
        <f t="array" ref="P79">SQRT(SUMPRODUCT(--($L$6:$L$300&lt;&gt;1),--($C$6:$C$300=$C79),$E$6:$E$300,$O$6:$O$300)/((N79-1)*SUMPRODUCT(--($L$6:$L$300&lt;&gt;1),--($C$6:$C$300=$C79),$E$6:$E$300)/N79))</f>
        <v>552.30327144124203</v>
      </c>
      <c r="Q79" s="2">
        <f t="shared" si="3"/>
        <v>101.8169351417489</v>
      </c>
      <c r="R79" s="2">
        <f t="shared" si="3"/>
        <v>1517.4271794836054</v>
      </c>
      <c r="S79" s="2">
        <f t="shared" si="14"/>
        <v>984.12859413379545</v>
      </c>
    </row>
    <row r="80" spans="2:19" x14ac:dyDescent="0.35">
      <c r="B80">
        <v>743</v>
      </c>
      <c r="C80" s="17">
        <v>6</v>
      </c>
      <c r="D80" s="22" t="s">
        <v>347</v>
      </c>
      <c r="E80" s="90">
        <f>INDEX('Revised 2019 Lockdown'!H$5:H$257,MATCH(B80,'Revised 2019 Lockdown'!B$5:B$257,0))</f>
        <v>71.128633854585487</v>
      </c>
      <c r="F80" s="7">
        <f>INDEX('Revised 2019 Lockdown'!E$5:E$257,MATCH(B80,'Revised 2019 Lockdown'!B$5:B$257,0))</f>
        <v>137831.6</v>
      </c>
      <c r="G80" s="7">
        <f>INDEX('Revised 2019 Lockdown'!F$5:F$257,MATCH(B80,'Revised 2019 Lockdown'!B$5:B$257,0))</f>
        <v>0</v>
      </c>
      <c r="H80" s="7">
        <f t="shared" si="11"/>
        <v>137831.6</v>
      </c>
      <c r="I80" s="6">
        <f t="shared" si="8"/>
        <v>1937.7793798455521</v>
      </c>
      <c r="J80" s="6">
        <f t="shared" si="12"/>
        <v>1517.4271794836054</v>
      </c>
      <c r="K80" s="5">
        <f t="shared" si="9"/>
        <v>107932.52225048575</v>
      </c>
      <c r="L80" s="4">
        <f t="shared" si="10"/>
        <v>0</v>
      </c>
      <c r="M80" s="2" cm="1">
        <f t="array" ref="M80">SUMPRODUCT(--($L$6:$L$300&lt;&gt;1),--($C$6:$C$300=$C80),$H$6:$H$300)/SUMPRODUCT(--($L$6:$L$300&lt;&gt;1),--($C$6:$C$300=$C80),$E$6:$E$300)</f>
        <v>809.62205731267716</v>
      </c>
      <c r="N80" s="1" cm="1">
        <f t="array" ref="N80">SUMPRODUCT(--($L$6:$L$300&lt;&gt;1),--($C$6:$C$300=$C80))</f>
        <v>49</v>
      </c>
      <c r="O80" s="3">
        <f t="shared" si="13"/>
        <v>1272738.9443845449</v>
      </c>
      <c r="P80" s="2" cm="1">
        <f t="array" ref="P80">SQRT(SUMPRODUCT(--($L$6:$L$300&lt;&gt;1),--($C$6:$C$300=$C80),$E$6:$E$300,$O$6:$O$300)/((N80-1)*SUMPRODUCT(--($L$6:$L$300&lt;&gt;1),--($C$6:$C$300=$C80),$E$6:$E$300)/N80))</f>
        <v>552.30327144124203</v>
      </c>
      <c r="Q80" s="2">
        <f t="shared" si="3"/>
        <v>101.8169351417489</v>
      </c>
      <c r="R80" s="2">
        <f t="shared" si="3"/>
        <v>1517.4271794836054</v>
      </c>
      <c r="S80" s="2">
        <f t="shared" si="14"/>
        <v>1517.4271794836054</v>
      </c>
    </row>
    <row r="81" spans="2:19" x14ac:dyDescent="0.35">
      <c r="B81">
        <v>747</v>
      </c>
      <c r="C81" s="17">
        <v>6</v>
      </c>
      <c r="D81" s="22" t="s">
        <v>106</v>
      </c>
      <c r="E81" s="90">
        <f>INDEX('Revised 2019 Lockdown'!H$5:H$257,MATCH(B81,'Revised 2019 Lockdown'!B$5:B$257,0))</f>
        <v>38</v>
      </c>
      <c r="F81" s="7">
        <f>INDEX('Revised 2019 Lockdown'!E$5:E$257,MATCH(B81,'Revised 2019 Lockdown'!B$5:B$257,0))</f>
        <v>67182.81</v>
      </c>
      <c r="G81" s="7">
        <f>INDEX('Revised 2019 Lockdown'!F$5:F$257,MATCH(B81,'Revised 2019 Lockdown'!B$5:B$257,0))</f>
        <v>0</v>
      </c>
      <c r="H81" s="7">
        <f t="shared" si="11"/>
        <v>67182.81</v>
      </c>
      <c r="I81" s="6">
        <f t="shared" si="8"/>
        <v>1767.9686842105264</v>
      </c>
      <c r="J81" s="6">
        <f t="shared" si="12"/>
        <v>1517.4271794836054</v>
      </c>
      <c r="K81" s="5">
        <f t="shared" si="9"/>
        <v>57662.232820377008</v>
      </c>
      <c r="L81" s="4">
        <f t="shared" si="10"/>
        <v>0</v>
      </c>
      <c r="M81" s="2" cm="1">
        <f t="array" ref="M81">SUMPRODUCT(--($L$6:$L$300&lt;&gt;1),--($C$6:$C$300=$C81),$H$6:$H$300)/SUMPRODUCT(--($L$6:$L$300&lt;&gt;1),--($C$6:$C$300=$C81),$E$6:$E$300)</f>
        <v>809.62205731267716</v>
      </c>
      <c r="N81" s="1" cm="1">
        <f t="array" ref="N81">SUMPRODUCT(--($L$6:$L$300&lt;&gt;1),--($C$6:$C$300=$C81))</f>
        <v>49</v>
      </c>
      <c r="O81" s="3">
        <f t="shared" si="13"/>
        <v>918428.2572864854</v>
      </c>
      <c r="P81" s="2" cm="1">
        <f t="array" ref="P81">SQRT(SUMPRODUCT(--($L$6:$L$300&lt;&gt;1),--($C$6:$C$300=$C81),$E$6:$E$300,$O$6:$O$300)/((N81-1)*SUMPRODUCT(--($L$6:$L$300&lt;&gt;1),--($C$6:$C$300=$C81),$E$6:$E$300)/N81))</f>
        <v>552.30327144124203</v>
      </c>
      <c r="Q81" s="2">
        <f t="shared" si="3"/>
        <v>101.8169351417489</v>
      </c>
      <c r="R81" s="2">
        <f t="shared" si="3"/>
        <v>1517.4271794836054</v>
      </c>
      <c r="S81" s="2">
        <f t="shared" si="14"/>
        <v>1517.4271794836054</v>
      </c>
    </row>
    <row r="82" spans="2:19" x14ac:dyDescent="0.35">
      <c r="B82">
        <v>758</v>
      </c>
      <c r="C82" s="17">
        <v>6</v>
      </c>
      <c r="D82" s="22" t="s">
        <v>107</v>
      </c>
      <c r="E82" s="90">
        <f>INDEX('Revised 2019 Lockdown'!H$5:H$257,MATCH(B82,'Revised 2019 Lockdown'!B$5:B$257,0))</f>
        <v>242.43754918347622</v>
      </c>
      <c r="F82" s="7">
        <f>INDEX('Revised 2019 Lockdown'!E$5:E$257,MATCH(B82,'Revised 2019 Lockdown'!B$5:B$257,0))</f>
        <v>340319.42</v>
      </c>
      <c r="G82" s="7">
        <f>INDEX('Revised 2019 Lockdown'!F$5:F$257,MATCH(B82,'Revised 2019 Lockdown'!B$5:B$257,0))</f>
        <v>142.1</v>
      </c>
      <c r="H82" s="7">
        <f t="shared" si="11"/>
        <v>340177.32</v>
      </c>
      <c r="I82" s="6">
        <f t="shared" si="8"/>
        <v>1403.1544253178147</v>
      </c>
      <c r="J82" s="6">
        <f t="shared" si="12"/>
        <v>1403.1544253178147</v>
      </c>
      <c r="K82" s="5">
        <f t="shared" si="9"/>
        <v>340177.32</v>
      </c>
      <c r="L82" s="4">
        <f t="shared" si="10"/>
        <v>0</v>
      </c>
      <c r="M82" s="2" cm="1">
        <f t="array" ref="M82">SUMPRODUCT(--($L$6:$L$300&lt;&gt;1),--($C$6:$C$300=$C82),$H$6:$H$300)/SUMPRODUCT(--($L$6:$L$300&lt;&gt;1),--($C$6:$C$300=$C82),$E$6:$E$300)</f>
        <v>809.62205731267716</v>
      </c>
      <c r="N82" s="1" cm="1">
        <f t="array" ref="N82">SUMPRODUCT(--($L$6:$L$300&lt;&gt;1),--($C$6:$C$300=$C82))</f>
        <v>49</v>
      </c>
      <c r="O82" s="3">
        <f t="shared" si="13"/>
        <v>352280.67186978599</v>
      </c>
      <c r="P82" s="2" cm="1">
        <f t="array" ref="P82">SQRT(SUMPRODUCT(--($L$6:$L$300&lt;&gt;1),--($C$6:$C$300=$C82),$E$6:$E$300,$O$6:$O$300)/((N82-1)*SUMPRODUCT(--($L$6:$L$300&lt;&gt;1),--($C$6:$C$300=$C82),$E$6:$E$300)/N82))</f>
        <v>552.30327144124203</v>
      </c>
      <c r="Q82" s="2">
        <f t="shared" si="3"/>
        <v>101.8169351417489</v>
      </c>
      <c r="R82" s="2">
        <f t="shared" si="3"/>
        <v>1517.4271794836054</v>
      </c>
      <c r="S82" s="2">
        <f t="shared" si="14"/>
        <v>1403.1544253178147</v>
      </c>
    </row>
    <row r="83" spans="2:19" x14ac:dyDescent="0.35">
      <c r="B83">
        <v>765</v>
      </c>
      <c r="C83" s="17">
        <v>6</v>
      </c>
      <c r="D83" s="22" t="s">
        <v>108</v>
      </c>
      <c r="E83" s="90">
        <f>INDEX('Revised 2019 Lockdown'!H$5:H$257,MATCH(B83,'Revised 2019 Lockdown'!B$5:B$257,0))</f>
        <v>86.906400000000005</v>
      </c>
      <c r="F83" s="7">
        <f>INDEX('Revised 2019 Lockdown'!E$5:E$257,MATCH(B83,'Revised 2019 Lockdown'!B$5:B$257,0))</f>
        <v>83939.95</v>
      </c>
      <c r="G83" s="7">
        <f>INDEX('Revised 2019 Lockdown'!F$5:F$257,MATCH(B83,'Revised 2019 Lockdown'!B$5:B$257,0))</f>
        <v>0</v>
      </c>
      <c r="H83" s="7">
        <f t="shared" si="11"/>
        <v>83939.95</v>
      </c>
      <c r="I83" s="6">
        <f t="shared" si="8"/>
        <v>965.86615024900345</v>
      </c>
      <c r="J83" s="6">
        <f t="shared" si="12"/>
        <v>965.86615024900345</v>
      </c>
      <c r="K83" s="5">
        <f t="shared" si="9"/>
        <v>83939.95</v>
      </c>
      <c r="L83" s="4">
        <f t="shared" si="10"/>
        <v>0</v>
      </c>
      <c r="M83" s="2" cm="1">
        <f t="array" ref="M83">SUMPRODUCT(--($L$6:$L$300&lt;&gt;1),--($C$6:$C$300=$C83),$H$6:$H$300)/SUMPRODUCT(--($L$6:$L$300&lt;&gt;1),--($C$6:$C$300=$C83),$E$6:$E$300)</f>
        <v>809.62205731267716</v>
      </c>
      <c r="N83" s="1" cm="1">
        <f t="array" ref="N83">SUMPRODUCT(--($L$6:$L$300&lt;&gt;1),--($C$6:$C$300=$C83))</f>
        <v>49</v>
      </c>
      <c r="O83" s="3">
        <f t="shared" si="13"/>
        <v>24412.216577495368</v>
      </c>
      <c r="P83" s="2" cm="1">
        <f t="array" ref="P83">SQRT(SUMPRODUCT(--($L$6:$L$300&lt;&gt;1),--($C$6:$C$300=$C83),$E$6:$E$300,$O$6:$O$300)/((N83-1)*SUMPRODUCT(--($L$6:$L$300&lt;&gt;1),--($C$6:$C$300=$C83),$E$6:$E$300)/N83))</f>
        <v>552.30327144124203</v>
      </c>
      <c r="Q83" s="2">
        <f t="shared" si="3"/>
        <v>101.8169351417489</v>
      </c>
      <c r="R83" s="2">
        <f t="shared" si="3"/>
        <v>1517.4271794836054</v>
      </c>
      <c r="S83" s="2">
        <f t="shared" si="14"/>
        <v>965.86615024900345</v>
      </c>
    </row>
    <row r="84" spans="2:19" x14ac:dyDescent="0.35">
      <c r="B84">
        <v>770</v>
      </c>
      <c r="C84" s="17">
        <v>6</v>
      </c>
      <c r="D84" s="22" t="s">
        <v>109</v>
      </c>
      <c r="E84" s="90">
        <f>INDEX('Revised 2019 Lockdown'!H$5:H$257,MATCH(B84,'Revised 2019 Lockdown'!B$5:B$257,0))</f>
        <v>26.529705367571449</v>
      </c>
      <c r="F84" s="7">
        <f>INDEX('Revised 2019 Lockdown'!E$5:E$257,MATCH(B84,'Revised 2019 Lockdown'!B$5:B$257,0))</f>
        <v>30839.79</v>
      </c>
      <c r="G84" s="7">
        <f>INDEX('Revised 2019 Lockdown'!F$5:F$257,MATCH(B84,'Revised 2019 Lockdown'!B$5:B$257,0))</f>
        <v>0</v>
      </c>
      <c r="H84" s="7">
        <f t="shared" si="11"/>
        <v>30839.79</v>
      </c>
      <c r="I84" s="6">
        <f t="shared" si="8"/>
        <v>1162.4625894902315</v>
      </c>
      <c r="J84" s="6">
        <f t="shared" si="12"/>
        <v>1162.4625894902315</v>
      </c>
      <c r="K84" s="5">
        <f t="shared" si="9"/>
        <v>30839.79</v>
      </c>
      <c r="L84" s="4">
        <f t="shared" si="10"/>
        <v>0</v>
      </c>
      <c r="M84" s="2" cm="1">
        <f t="array" ref="M84">SUMPRODUCT(--($L$6:$L$300&lt;&gt;1),--($C$6:$C$300=$C84),$H$6:$H$300)/SUMPRODUCT(--($L$6:$L$300&lt;&gt;1),--($C$6:$C$300=$C84),$E$6:$E$300)</f>
        <v>809.62205731267716</v>
      </c>
      <c r="N84" s="1" cm="1">
        <f t="array" ref="N84">SUMPRODUCT(--($L$6:$L$300&lt;&gt;1),--($C$6:$C$300=$C84))</f>
        <v>49</v>
      </c>
      <c r="O84" s="3">
        <f t="shared" si="13"/>
        <v>124496.44114733976</v>
      </c>
      <c r="P84" s="2" cm="1">
        <f t="array" ref="P84">SQRT(SUMPRODUCT(--($L$6:$L$300&lt;&gt;1),--($C$6:$C$300=$C84),$E$6:$E$300,$O$6:$O$300)/((N84-1)*SUMPRODUCT(--($L$6:$L$300&lt;&gt;1),--($C$6:$C$300=$C84),$E$6:$E$300)/N84))</f>
        <v>552.30327144124203</v>
      </c>
      <c r="Q84" s="2">
        <f t="shared" si="3"/>
        <v>101.8169351417489</v>
      </c>
      <c r="R84" s="2">
        <f t="shared" si="3"/>
        <v>1517.4271794836054</v>
      </c>
      <c r="S84" s="2">
        <f t="shared" si="14"/>
        <v>1162.4625894902315</v>
      </c>
    </row>
    <row r="85" spans="2:19" x14ac:dyDescent="0.35">
      <c r="B85">
        <v>774</v>
      </c>
      <c r="C85" s="17">
        <v>6</v>
      </c>
      <c r="D85" s="22" t="s">
        <v>110</v>
      </c>
      <c r="E85" s="90">
        <f>INDEX('Revised 2019 Lockdown'!H$5:H$257,MATCH(B85,'Revised 2019 Lockdown'!B$5:B$257,0))</f>
        <v>357.53110369632333</v>
      </c>
      <c r="F85" s="7">
        <f>INDEX('Revised 2019 Lockdown'!E$5:E$257,MATCH(B85,'Revised 2019 Lockdown'!B$5:B$257,0))</f>
        <v>291174.90000000002</v>
      </c>
      <c r="G85" s="7">
        <f>INDEX('Revised 2019 Lockdown'!F$5:F$257,MATCH(B85,'Revised 2019 Lockdown'!B$5:B$257,0))</f>
        <v>0</v>
      </c>
      <c r="H85" s="7">
        <f t="shared" si="11"/>
        <v>291174.90000000002</v>
      </c>
      <c r="I85" s="6">
        <f t="shared" si="8"/>
        <v>814.40438884812556</v>
      </c>
      <c r="J85" s="6">
        <f t="shared" si="12"/>
        <v>814.40438884812556</v>
      </c>
      <c r="K85" s="5">
        <f t="shared" si="9"/>
        <v>291174.90000000002</v>
      </c>
      <c r="L85" s="4">
        <f t="shared" si="10"/>
        <v>0</v>
      </c>
      <c r="M85" s="2" cm="1">
        <f t="array" ref="M85">SUMPRODUCT(--($L$6:$L$300&lt;&gt;1),--($C$6:$C$300=$C85),$H$6:$H$300)/SUMPRODUCT(--($L$6:$L$300&lt;&gt;1),--($C$6:$C$300=$C85),$E$6:$E$300)</f>
        <v>809.62205731267716</v>
      </c>
      <c r="N85" s="1" cm="1">
        <f t="array" ref="N85">SUMPRODUCT(--($L$6:$L$300&lt;&gt;1),--($C$6:$C$300=$C85))</f>
        <v>49</v>
      </c>
      <c r="O85" s="3">
        <f t="shared" si="13"/>
        <v>22.870694914944313</v>
      </c>
      <c r="P85" s="2" cm="1">
        <f t="array" ref="P85">SQRT(SUMPRODUCT(--($L$6:$L$300&lt;&gt;1),--($C$6:$C$300=$C85),$E$6:$E$300,$O$6:$O$300)/((N85-1)*SUMPRODUCT(--($L$6:$L$300&lt;&gt;1),--($C$6:$C$300=$C85),$E$6:$E$300)/N85))</f>
        <v>552.30327144124203</v>
      </c>
      <c r="Q85" s="2">
        <f t="shared" si="3"/>
        <v>101.8169351417489</v>
      </c>
      <c r="R85" s="2">
        <f t="shared" si="3"/>
        <v>1517.4271794836054</v>
      </c>
      <c r="S85" s="2">
        <f t="shared" si="14"/>
        <v>814.40438884812556</v>
      </c>
    </row>
    <row r="86" spans="2:19" x14ac:dyDescent="0.35">
      <c r="B86">
        <v>794</v>
      </c>
      <c r="C86" s="17">
        <v>6</v>
      </c>
      <c r="D86" s="22" t="s">
        <v>111</v>
      </c>
      <c r="E86" s="90">
        <f>INDEX('Revised 2019 Lockdown'!H$5:H$257,MATCH(B86,'Revised 2019 Lockdown'!B$5:B$257,0))</f>
        <v>19.658346730975349</v>
      </c>
      <c r="F86" s="7">
        <f>INDEX('Revised 2019 Lockdown'!E$5:E$257,MATCH(B86,'Revised 2019 Lockdown'!B$5:B$257,0))</f>
        <v>44067.08</v>
      </c>
      <c r="G86" s="7">
        <f>INDEX('Revised 2019 Lockdown'!F$5:F$257,MATCH(B86,'Revised 2019 Lockdown'!B$5:B$257,0))</f>
        <v>0</v>
      </c>
      <c r="H86" s="7">
        <f t="shared" si="11"/>
        <v>44067.08</v>
      </c>
      <c r="I86" s="6">
        <f t="shared" si="8"/>
        <v>2241.6473065135328</v>
      </c>
      <c r="J86" s="6">
        <f t="shared" si="12"/>
        <v>1517.4271794836054</v>
      </c>
      <c r="K86" s="5">
        <f t="shared" si="9"/>
        <v>29830.10963329468</v>
      </c>
      <c r="L86" s="4">
        <f t="shared" si="10"/>
        <v>0</v>
      </c>
      <c r="M86" s="2" cm="1">
        <f t="array" ref="M86">SUMPRODUCT(--($L$6:$L$300&lt;&gt;1),--($C$6:$C$300=$C86),$H$6:$H$300)/SUMPRODUCT(--($L$6:$L$300&lt;&gt;1),--($C$6:$C$300=$C86),$E$6:$E$300)</f>
        <v>809.62205731267716</v>
      </c>
      <c r="N86" s="1" cm="1">
        <f t="array" ref="N86">SUMPRODUCT(--($L$6:$L$300&lt;&gt;1),--($C$6:$C$300=$C86))</f>
        <v>49</v>
      </c>
      <c r="O86" s="3">
        <f t="shared" si="13"/>
        <v>2050696.3143487731</v>
      </c>
      <c r="P86" s="2" cm="1">
        <f t="array" ref="P86">SQRT(SUMPRODUCT(--($L$6:$L$300&lt;&gt;1),--($C$6:$C$300=$C86),$E$6:$E$300,$O$6:$O$300)/((N86-1)*SUMPRODUCT(--($L$6:$L$300&lt;&gt;1),--($C$6:$C$300=$C86),$E$6:$E$300)/N86))</f>
        <v>552.30327144124203</v>
      </c>
      <c r="Q86" s="2">
        <f t="shared" si="3"/>
        <v>101.8169351417489</v>
      </c>
      <c r="R86" s="2">
        <f t="shared" si="3"/>
        <v>1517.4271794836054</v>
      </c>
      <c r="S86" s="2">
        <f t="shared" si="14"/>
        <v>1517.4271794836054</v>
      </c>
    </row>
    <row r="87" spans="2:19" x14ac:dyDescent="0.35">
      <c r="B87">
        <v>806</v>
      </c>
      <c r="C87" s="17">
        <v>6</v>
      </c>
      <c r="D87" s="22" t="s">
        <v>112</v>
      </c>
      <c r="E87" s="90">
        <f>INDEX('Revised 2019 Lockdown'!H$5:H$257,MATCH(B87,'Revised 2019 Lockdown'!B$5:B$257,0))</f>
        <v>28</v>
      </c>
      <c r="F87" s="7">
        <f>INDEX('Revised 2019 Lockdown'!E$5:E$257,MATCH(B87,'Revised 2019 Lockdown'!B$5:B$257,0))</f>
        <v>39624.269999999997</v>
      </c>
      <c r="G87" s="7">
        <f>INDEX('Revised 2019 Lockdown'!F$5:F$257,MATCH(B87,'Revised 2019 Lockdown'!B$5:B$257,0))</f>
        <v>0</v>
      </c>
      <c r="H87" s="7">
        <f t="shared" si="11"/>
        <v>39624.269999999997</v>
      </c>
      <c r="I87" s="6">
        <f t="shared" si="8"/>
        <v>1415.1524999999999</v>
      </c>
      <c r="J87" s="6">
        <f t="shared" si="12"/>
        <v>1415.1524999999999</v>
      </c>
      <c r="K87" s="5">
        <f t="shared" si="9"/>
        <v>39624.269999999997</v>
      </c>
      <c r="L87" s="4">
        <f t="shared" si="10"/>
        <v>0</v>
      </c>
      <c r="M87" s="2" cm="1">
        <f t="array" ref="M87">SUMPRODUCT(--($L$6:$L$300&lt;&gt;1),--($C$6:$C$300=$C87),$H$6:$H$300)/SUMPRODUCT(--($L$6:$L$300&lt;&gt;1),--($C$6:$C$300=$C87),$E$6:$E$300)</f>
        <v>809.62205731267716</v>
      </c>
      <c r="N87" s="1" cm="1">
        <f t="array" ref="N87">SUMPRODUCT(--($L$6:$L$300&lt;&gt;1),--($C$6:$C$300=$C87))</f>
        <v>49</v>
      </c>
      <c r="O87" s="3">
        <f t="shared" si="13"/>
        <v>366667.11702110508</v>
      </c>
      <c r="P87" s="2" cm="1">
        <f t="array" ref="P87">SQRT(SUMPRODUCT(--($L$6:$L$300&lt;&gt;1),--($C$6:$C$300=$C87),$E$6:$E$300,$O$6:$O$300)/((N87-1)*SUMPRODUCT(--($L$6:$L$300&lt;&gt;1),--($C$6:$C$300=$C87),$E$6:$E$300)/N87))</f>
        <v>552.30327144124203</v>
      </c>
      <c r="Q87" s="2">
        <f t="shared" si="3"/>
        <v>101.8169351417489</v>
      </c>
      <c r="R87" s="2">
        <f t="shared" si="3"/>
        <v>1517.4271794836054</v>
      </c>
      <c r="S87" s="2">
        <f t="shared" si="14"/>
        <v>1415.1524999999999</v>
      </c>
    </row>
    <row r="88" spans="2:19" x14ac:dyDescent="0.35">
      <c r="B88">
        <v>809</v>
      </c>
      <c r="C88" s="17">
        <v>6</v>
      </c>
      <c r="D88" s="22" t="s">
        <v>348</v>
      </c>
      <c r="E88" s="90">
        <f>INDEX('Revised 2019 Lockdown'!H$5:H$257,MATCH(B88,'Revised 2019 Lockdown'!B$5:B$257,0))</f>
        <v>348.46479174516446</v>
      </c>
      <c r="F88" s="7">
        <f>INDEX('Revised 2019 Lockdown'!E$5:E$257,MATCH(B88,'Revised 2019 Lockdown'!B$5:B$257,0))</f>
        <v>495521.19</v>
      </c>
      <c r="G88" s="7">
        <f>INDEX('Revised 2019 Lockdown'!F$5:F$257,MATCH(B88,'Revised 2019 Lockdown'!B$5:B$257,0))</f>
        <v>0</v>
      </c>
      <c r="H88" s="7">
        <f t="shared" si="11"/>
        <v>495521.19</v>
      </c>
      <c r="I88" s="6">
        <f t="shared" si="8"/>
        <v>1422.0122139696089</v>
      </c>
      <c r="J88" s="6">
        <f t="shared" si="12"/>
        <v>1422.0122139696089</v>
      </c>
      <c r="K88" s="5">
        <f t="shared" si="9"/>
        <v>495521.19</v>
      </c>
      <c r="L88" s="4">
        <f t="shared" si="10"/>
        <v>0</v>
      </c>
      <c r="M88" s="2" cm="1">
        <f t="array" ref="M88">SUMPRODUCT(--($L$6:$L$300&lt;&gt;1),--($C$6:$C$300=$C88),$H$6:$H$300)/SUMPRODUCT(--($L$6:$L$300&lt;&gt;1),--($C$6:$C$300=$C88),$E$6:$E$300)</f>
        <v>809.62205731267716</v>
      </c>
      <c r="N88" s="1" cm="1">
        <f t="array" ref="N88">SUMPRODUCT(--($L$6:$L$300&lt;&gt;1),--($C$6:$C$300=$C88))</f>
        <v>49</v>
      </c>
      <c r="O88" s="3">
        <f t="shared" si="13"/>
        <v>375021.70397030137</v>
      </c>
      <c r="P88" s="2" cm="1">
        <f t="array" ref="P88">SQRT(SUMPRODUCT(--($L$6:$L$300&lt;&gt;1),--($C$6:$C$300=$C88),$E$6:$E$300,$O$6:$O$300)/((N88-1)*SUMPRODUCT(--($L$6:$L$300&lt;&gt;1),--($C$6:$C$300=$C88),$E$6:$E$300)/N88))</f>
        <v>552.30327144124203</v>
      </c>
      <c r="Q88" s="2">
        <f t="shared" si="3"/>
        <v>101.8169351417489</v>
      </c>
      <c r="R88" s="2">
        <f t="shared" si="3"/>
        <v>1517.4271794836054</v>
      </c>
      <c r="S88" s="2">
        <f t="shared" si="14"/>
        <v>1422.0122139696089</v>
      </c>
    </row>
    <row r="89" spans="2:19" x14ac:dyDescent="0.35">
      <c r="B89">
        <v>811</v>
      </c>
      <c r="C89" s="17">
        <v>6</v>
      </c>
      <c r="D89" s="22" t="s">
        <v>113</v>
      </c>
      <c r="E89" s="90">
        <f>INDEX('Revised 2019 Lockdown'!H$5:H$257,MATCH(B89,'Revised 2019 Lockdown'!B$5:B$257,0))</f>
        <v>586.72493379030573</v>
      </c>
      <c r="F89" s="7">
        <f>INDEX('Revised 2019 Lockdown'!E$5:E$257,MATCH(B89,'Revised 2019 Lockdown'!B$5:B$257,0))</f>
        <v>508959.18</v>
      </c>
      <c r="G89" s="7">
        <f>INDEX('Revised 2019 Lockdown'!F$5:F$257,MATCH(B89,'Revised 2019 Lockdown'!B$5:B$257,0))</f>
        <v>7228.6</v>
      </c>
      <c r="H89" s="7">
        <f t="shared" si="11"/>
        <v>501730.58</v>
      </c>
      <c r="I89" s="6">
        <f t="shared" si="8"/>
        <v>855.13764816294224</v>
      </c>
      <c r="J89" s="6">
        <f t="shared" si="12"/>
        <v>855.13764816294224</v>
      </c>
      <c r="K89" s="5">
        <f t="shared" si="9"/>
        <v>501730.58</v>
      </c>
      <c r="L89" s="4">
        <f t="shared" si="10"/>
        <v>0</v>
      </c>
      <c r="M89" s="2" cm="1">
        <f t="array" ref="M89">SUMPRODUCT(--($L$6:$L$300&lt;&gt;1),--($C$6:$C$300=$C89),$H$6:$H$300)/SUMPRODUCT(--($L$6:$L$300&lt;&gt;1),--($C$6:$C$300=$C89),$E$6:$E$300)</f>
        <v>809.62205731267716</v>
      </c>
      <c r="N89" s="1" cm="1">
        <f t="array" ref="N89">SUMPRODUCT(--($L$6:$L$300&lt;&gt;1),--($C$6:$C$300=$C89))</f>
        <v>49</v>
      </c>
      <c r="O89" s="3">
        <f t="shared" si="13"/>
        <v>2071.6690104487348</v>
      </c>
      <c r="P89" s="2" cm="1">
        <f t="array" ref="P89">SQRT(SUMPRODUCT(--($L$6:$L$300&lt;&gt;1),--($C$6:$C$300=$C89),$E$6:$E$300,$O$6:$O$300)/((N89-1)*SUMPRODUCT(--($L$6:$L$300&lt;&gt;1),--($C$6:$C$300=$C89),$E$6:$E$300)/N89))</f>
        <v>552.30327144124203</v>
      </c>
      <c r="Q89" s="2">
        <f t="shared" si="3"/>
        <v>101.8169351417489</v>
      </c>
      <c r="R89" s="2">
        <f t="shared" si="3"/>
        <v>1517.4271794836054</v>
      </c>
      <c r="S89" s="2">
        <f t="shared" si="14"/>
        <v>855.13764816294224</v>
      </c>
    </row>
    <row r="90" spans="2:19" x14ac:dyDescent="0.35">
      <c r="B90">
        <v>824</v>
      </c>
      <c r="C90" s="17">
        <v>6</v>
      </c>
      <c r="D90" s="22" t="s">
        <v>114</v>
      </c>
      <c r="E90" s="90">
        <f>INDEX('Revised 2019 Lockdown'!H$5:H$257,MATCH(B90,'Revised 2019 Lockdown'!B$5:B$257,0))</f>
        <v>33.61</v>
      </c>
      <c r="F90" s="7">
        <f>INDEX('Revised 2019 Lockdown'!E$5:E$257,MATCH(B90,'Revised 2019 Lockdown'!B$5:B$257,0))</f>
        <v>64105.83</v>
      </c>
      <c r="G90" s="7">
        <f>INDEX('Revised 2019 Lockdown'!F$5:F$257,MATCH(B90,'Revised 2019 Lockdown'!B$5:B$257,0))</f>
        <v>0</v>
      </c>
      <c r="H90" s="7">
        <f t="shared" si="11"/>
        <v>64105.83</v>
      </c>
      <c r="I90" s="6">
        <f t="shared" si="8"/>
        <v>1907.3439452543887</v>
      </c>
      <c r="J90" s="6">
        <f t="shared" si="12"/>
        <v>1517.4271794836054</v>
      </c>
      <c r="K90" s="5">
        <f t="shared" si="9"/>
        <v>51000.72750244398</v>
      </c>
      <c r="L90" s="4">
        <f t="shared" si="10"/>
        <v>0</v>
      </c>
      <c r="M90" s="2" cm="1">
        <f t="array" ref="M90">SUMPRODUCT(--($L$6:$L$300&lt;&gt;1),--($C$6:$C$300=$C90),$H$6:$H$300)/SUMPRODUCT(--($L$6:$L$300&lt;&gt;1),--($C$6:$C$300=$C90),$E$6:$E$300)</f>
        <v>809.62205731267716</v>
      </c>
      <c r="N90" s="1" cm="1">
        <f t="array" ref="N90">SUMPRODUCT(--($L$6:$L$300&lt;&gt;1),--($C$6:$C$300=$C90))</f>
        <v>49</v>
      </c>
      <c r="O90" s="3">
        <f t="shared" si="13"/>
        <v>1204993.3432663153</v>
      </c>
      <c r="P90" s="2" cm="1">
        <f t="array" ref="P90">SQRT(SUMPRODUCT(--($L$6:$L$300&lt;&gt;1),--($C$6:$C$300=$C90),$E$6:$E$300,$O$6:$O$300)/((N90-1)*SUMPRODUCT(--($L$6:$L$300&lt;&gt;1),--($C$6:$C$300=$C90),$E$6:$E$300)/N90))</f>
        <v>552.30327144124203</v>
      </c>
      <c r="Q90" s="2">
        <f t="shared" si="3"/>
        <v>101.8169351417489</v>
      </c>
      <c r="R90" s="2">
        <f t="shared" si="3"/>
        <v>1517.4271794836054</v>
      </c>
      <c r="S90" s="2">
        <f t="shared" si="14"/>
        <v>1517.4271794836054</v>
      </c>
    </row>
    <row r="91" spans="2:19" x14ac:dyDescent="0.35">
      <c r="B91">
        <v>826</v>
      </c>
      <c r="C91" s="17">
        <v>6</v>
      </c>
      <c r="D91" s="22" t="s">
        <v>115</v>
      </c>
      <c r="E91" s="90">
        <f>INDEX('Revised 2019 Lockdown'!H$5:H$257,MATCH(B91,'Revised 2019 Lockdown'!B$5:B$257,0))</f>
        <v>39.180399999999999</v>
      </c>
      <c r="F91" s="7">
        <f>INDEX('Revised 2019 Lockdown'!E$5:E$257,MATCH(B91,'Revised 2019 Lockdown'!B$5:B$257,0))</f>
        <v>36328.44</v>
      </c>
      <c r="G91" s="7">
        <f>INDEX('Revised 2019 Lockdown'!F$5:F$257,MATCH(B91,'Revised 2019 Lockdown'!B$5:B$257,0))</f>
        <v>0</v>
      </c>
      <c r="H91" s="7">
        <f t="shared" si="11"/>
        <v>36328.44</v>
      </c>
      <c r="I91" s="6">
        <f t="shared" si="8"/>
        <v>927.20952312891143</v>
      </c>
      <c r="J91" s="6">
        <f t="shared" si="12"/>
        <v>927.20952312891143</v>
      </c>
      <c r="K91" s="5">
        <f t="shared" si="9"/>
        <v>36328.44</v>
      </c>
      <c r="L91" s="4">
        <f t="shared" si="10"/>
        <v>0</v>
      </c>
      <c r="M91" s="2" cm="1">
        <f t="array" ref="M91">SUMPRODUCT(--($L$6:$L$300&lt;&gt;1),--($C$6:$C$300=$C91),$H$6:$H$300)/SUMPRODUCT(--($L$6:$L$300&lt;&gt;1),--($C$6:$C$300=$C91),$E$6:$E$300)</f>
        <v>809.62205731267716</v>
      </c>
      <c r="N91" s="1" cm="1">
        <f t="array" ref="N91">SUMPRODUCT(--($L$6:$L$300&lt;&gt;1),--($C$6:$C$300=$C91))</f>
        <v>49</v>
      </c>
      <c r="O91" s="3">
        <f t="shared" si="13"/>
        <v>13826.812117084064</v>
      </c>
      <c r="P91" s="2" cm="1">
        <f t="array" ref="P91">SQRT(SUMPRODUCT(--($L$6:$L$300&lt;&gt;1),--($C$6:$C$300=$C91),$E$6:$E$300,$O$6:$O$300)/((N91-1)*SUMPRODUCT(--($L$6:$L$300&lt;&gt;1),--($C$6:$C$300=$C91),$E$6:$E$300)/N91))</f>
        <v>552.30327144124203</v>
      </c>
      <c r="Q91" s="2">
        <f t="shared" si="3"/>
        <v>101.8169351417489</v>
      </c>
      <c r="R91" s="2">
        <f t="shared" si="3"/>
        <v>1517.4271794836054</v>
      </c>
      <c r="S91" s="2">
        <f t="shared" si="14"/>
        <v>927.20952312891143</v>
      </c>
    </row>
    <row r="92" spans="2:19" x14ac:dyDescent="0.35">
      <c r="B92">
        <v>840</v>
      </c>
      <c r="C92" s="17">
        <v>6</v>
      </c>
      <c r="D92" s="22" t="s">
        <v>116</v>
      </c>
      <c r="E92" s="90">
        <f>INDEX('Revised 2019 Lockdown'!H$5:H$257,MATCH(B92,'Revised 2019 Lockdown'!B$5:B$257,0))</f>
        <v>138.55202775991427</v>
      </c>
      <c r="F92" s="7">
        <f>INDEX('Revised 2019 Lockdown'!E$5:E$257,MATCH(B92,'Revised 2019 Lockdown'!B$5:B$257,0))</f>
        <v>115261.04</v>
      </c>
      <c r="G92" s="7">
        <f>INDEX('Revised 2019 Lockdown'!F$5:F$257,MATCH(B92,'Revised 2019 Lockdown'!B$5:B$257,0))</f>
        <v>0</v>
      </c>
      <c r="H92" s="7">
        <f t="shared" si="11"/>
        <v>115261.04</v>
      </c>
      <c r="I92" s="6">
        <f t="shared" si="8"/>
        <v>831.89717150676881</v>
      </c>
      <c r="J92" s="6">
        <f t="shared" si="12"/>
        <v>831.89717150676881</v>
      </c>
      <c r="K92" s="5">
        <f t="shared" si="9"/>
        <v>115261.04</v>
      </c>
      <c r="L92" s="4">
        <f t="shared" si="10"/>
        <v>0</v>
      </c>
      <c r="M92" s="2" cm="1">
        <f t="array" ref="M92">SUMPRODUCT(--($L$6:$L$300&lt;&gt;1),--($C$6:$C$300=$C92),$H$6:$H$300)/SUMPRODUCT(--($L$6:$L$300&lt;&gt;1),--($C$6:$C$300=$C92),$E$6:$E$300)</f>
        <v>809.62205731267716</v>
      </c>
      <c r="N92" s="1" cm="1">
        <f t="array" ref="N92">SUMPRODUCT(--($L$6:$L$300&lt;&gt;1),--($C$6:$C$300=$C92))</f>
        <v>49</v>
      </c>
      <c r="O92" s="3">
        <f t="shared" si="13"/>
        <v>496.18071235982359</v>
      </c>
      <c r="P92" s="2" cm="1">
        <f t="array" ref="P92">SQRT(SUMPRODUCT(--($L$6:$L$300&lt;&gt;1),--($C$6:$C$300=$C92),$E$6:$E$300,$O$6:$O$300)/((N92-1)*SUMPRODUCT(--($L$6:$L$300&lt;&gt;1),--($C$6:$C$300=$C92),$E$6:$E$300)/N92))</f>
        <v>552.30327144124203</v>
      </c>
      <c r="Q92" s="2">
        <f t="shared" si="3"/>
        <v>101.8169351417489</v>
      </c>
      <c r="R92" s="2">
        <f t="shared" si="3"/>
        <v>1517.4271794836054</v>
      </c>
      <c r="S92" s="2">
        <f t="shared" si="14"/>
        <v>831.89717150676881</v>
      </c>
    </row>
    <row r="93" spans="2:19" x14ac:dyDescent="0.35">
      <c r="B93">
        <v>843</v>
      </c>
      <c r="C93" s="17">
        <v>6</v>
      </c>
      <c r="D93" s="22" t="s">
        <v>117</v>
      </c>
      <c r="E93" s="90">
        <f>INDEX('Revised 2019 Lockdown'!H$5:H$257,MATCH(B93,'Revised 2019 Lockdown'!B$5:B$257,0))</f>
        <v>24.72</v>
      </c>
      <c r="F93" s="7">
        <f>INDEX('Revised 2019 Lockdown'!E$5:E$257,MATCH(B93,'Revised 2019 Lockdown'!B$5:B$257,0))</f>
        <v>32653.86</v>
      </c>
      <c r="G93" s="7">
        <f>INDEX('Revised 2019 Lockdown'!F$5:F$257,MATCH(B93,'Revised 2019 Lockdown'!B$5:B$257,0))</f>
        <v>0</v>
      </c>
      <c r="H93" s="7">
        <f t="shared" si="11"/>
        <v>32653.86</v>
      </c>
      <c r="I93" s="6">
        <f t="shared" si="8"/>
        <v>1320.9490291262136</v>
      </c>
      <c r="J93" s="6">
        <f t="shared" si="12"/>
        <v>1320.9490291262136</v>
      </c>
      <c r="K93" s="5">
        <f t="shared" si="9"/>
        <v>32653.86</v>
      </c>
      <c r="L93" s="4">
        <f t="shared" si="10"/>
        <v>0</v>
      </c>
      <c r="M93" s="2" cm="1">
        <f t="array" ref="M93">SUMPRODUCT(--($L$6:$L$300&lt;&gt;1),--($C$6:$C$300=$C93),$H$6:$H$300)/SUMPRODUCT(--($L$6:$L$300&lt;&gt;1),--($C$6:$C$300=$C93),$E$6:$E$300)</f>
        <v>809.62205731267716</v>
      </c>
      <c r="N93" s="1" cm="1">
        <f t="array" ref="N93">SUMPRODUCT(--($L$6:$L$300&lt;&gt;1),--($C$6:$C$300=$C93))</f>
        <v>49</v>
      </c>
      <c r="O93" s="3">
        <f t="shared" si="13"/>
        <v>261455.27210400114</v>
      </c>
      <c r="P93" s="2" cm="1">
        <f t="array" ref="P93">SQRT(SUMPRODUCT(--($L$6:$L$300&lt;&gt;1),--($C$6:$C$300=$C93),$E$6:$E$300,$O$6:$O$300)/((N93-1)*SUMPRODUCT(--($L$6:$L$300&lt;&gt;1),--($C$6:$C$300=$C93),$E$6:$E$300)/N93))</f>
        <v>552.30327144124203</v>
      </c>
      <c r="Q93" s="2">
        <f t="shared" si="3"/>
        <v>101.8169351417489</v>
      </c>
      <c r="R93" s="2">
        <f t="shared" si="3"/>
        <v>1517.4271794836054</v>
      </c>
      <c r="S93" s="2">
        <f t="shared" si="14"/>
        <v>1320.9490291262136</v>
      </c>
    </row>
    <row r="94" spans="2:19" x14ac:dyDescent="0.35">
      <c r="B94">
        <v>846</v>
      </c>
      <c r="C94" s="17">
        <v>6</v>
      </c>
      <c r="D94" s="22" t="s">
        <v>291</v>
      </c>
      <c r="E94" s="90">
        <f>INDEX('Revised 2019 Lockdown'!H$5:H$257,MATCH(B94,'Revised 2019 Lockdown'!B$5:B$257,0))</f>
        <v>24.695999999999998</v>
      </c>
      <c r="F94" s="7">
        <f>INDEX('Revised 2019 Lockdown'!E$5:E$257,MATCH(B94,'Revised 2019 Lockdown'!B$5:B$257,0))</f>
        <v>35434.99</v>
      </c>
      <c r="G94" s="7">
        <f>INDEX('Revised 2019 Lockdown'!F$5:F$257,MATCH(B94,'Revised 2019 Lockdown'!B$5:B$257,0))</f>
        <v>0</v>
      </c>
      <c r="H94" s="7">
        <f t="shared" si="11"/>
        <v>35434.99</v>
      </c>
      <c r="I94" s="6">
        <f t="shared" si="8"/>
        <v>1434.8473436993845</v>
      </c>
      <c r="J94" s="6">
        <f t="shared" si="12"/>
        <v>1434.8473436993845</v>
      </c>
      <c r="K94" s="5">
        <f t="shared" si="9"/>
        <v>35434.99</v>
      </c>
      <c r="L94" s="4">
        <f t="shared" si="10"/>
        <v>0</v>
      </c>
      <c r="M94" s="2" cm="1">
        <f t="array" ref="M94">SUMPRODUCT(--($L$6:$L$300&lt;&gt;1),--($C$6:$C$300=$C94),$H$6:$H$300)/SUMPRODUCT(--($L$6:$L$300&lt;&gt;1),--($C$6:$C$300=$C94),$E$6:$E$300)</f>
        <v>809.62205731267716</v>
      </c>
      <c r="N94" s="1" cm="1">
        <f t="array" ref="N94">SUMPRODUCT(--($L$6:$L$300&lt;&gt;1),--($C$6:$C$300=$C94))</f>
        <v>49</v>
      </c>
      <c r="O94" s="3">
        <f t="shared" si="13"/>
        <v>390906.65873734024</v>
      </c>
      <c r="P94" s="2" cm="1">
        <f t="array" ref="P94">SQRT(SUMPRODUCT(--($L$6:$L$300&lt;&gt;1),--($C$6:$C$300=$C94),$E$6:$E$300,$O$6:$O$300)/((N94-1)*SUMPRODUCT(--($L$6:$L$300&lt;&gt;1),--($C$6:$C$300=$C94),$E$6:$E$300)/N94))</f>
        <v>552.30327144124203</v>
      </c>
      <c r="Q94" s="2">
        <f t="shared" si="3"/>
        <v>101.8169351417489</v>
      </c>
      <c r="R94" s="2">
        <f t="shared" si="3"/>
        <v>1517.4271794836054</v>
      </c>
      <c r="S94" s="2">
        <f t="shared" si="14"/>
        <v>1434.8473436993845</v>
      </c>
    </row>
    <row r="95" spans="2:19" x14ac:dyDescent="0.35">
      <c r="B95">
        <v>888</v>
      </c>
      <c r="C95" s="17">
        <v>6</v>
      </c>
      <c r="D95" s="22" t="s">
        <v>118</v>
      </c>
      <c r="E95" s="90">
        <f>INDEX('Revised 2019 Lockdown'!H$5:H$257,MATCH(B95,'Revised 2019 Lockdown'!B$5:B$257,0))</f>
        <v>103.64754100869358</v>
      </c>
      <c r="F95" s="7">
        <f>INDEX('Revised 2019 Lockdown'!E$5:E$257,MATCH(B95,'Revised 2019 Lockdown'!B$5:B$257,0))</f>
        <v>49302.5</v>
      </c>
      <c r="G95" s="7">
        <f>INDEX('Revised 2019 Lockdown'!F$5:F$257,MATCH(B95,'Revised 2019 Lockdown'!B$5:B$257,0))</f>
        <v>0</v>
      </c>
      <c r="H95" s="7">
        <f t="shared" si="11"/>
        <v>49302.5</v>
      </c>
      <c r="I95" s="6">
        <f t="shared" si="8"/>
        <v>475.67457481566964</v>
      </c>
      <c r="J95" s="6">
        <f t="shared" si="12"/>
        <v>475.67457481566964</v>
      </c>
      <c r="K95" s="5">
        <f t="shared" si="9"/>
        <v>49302.5</v>
      </c>
      <c r="L95" s="4">
        <f t="shared" si="10"/>
        <v>0</v>
      </c>
      <c r="M95" s="2" cm="1">
        <f t="array" ref="M95">SUMPRODUCT(--($L$6:$L$300&lt;&gt;1),--($C$6:$C$300=$C95),$H$6:$H$300)/SUMPRODUCT(--($L$6:$L$300&lt;&gt;1),--($C$6:$C$300=$C95),$E$6:$E$300)</f>
        <v>809.62205731267716</v>
      </c>
      <c r="N95" s="1" cm="1">
        <f t="array" ref="N95">SUMPRODUCT(--($L$6:$L$300&lt;&gt;1),--($C$6:$C$300=$C95))</f>
        <v>49</v>
      </c>
      <c r="O95" s="3">
        <f t="shared" si="13"/>
        <v>111520.92106608914</v>
      </c>
      <c r="P95" s="2" cm="1">
        <f t="array" ref="P95">SQRT(SUMPRODUCT(--($L$6:$L$300&lt;&gt;1),--($C$6:$C$300=$C95),$E$6:$E$300,$O$6:$O$300)/((N95-1)*SUMPRODUCT(--($L$6:$L$300&lt;&gt;1),--($C$6:$C$300=$C95),$E$6:$E$300)/N95))</f>
        <v>552.30327144124203</v>
      </c>
      <c r="Q95" s="2">
        <f t="shared" si="3"/>
        <v>101.8169351417489</v>
      </c>
      <c r="R95" s="2">
        <f t="shared" si="3"/>
        <v>1517.4271794836054</v>
      </c>
      <c r="S95" s="2">
        <f t="shared" si="14"/>
        <v>475.67457481566964</v>
      </c>
    </row>
    <row r="96" spans="2:19" x14ac:dyDescent="0.35">
      <c r="B96">
        <v>889</v>
      </c>
      <c r="C96" s="17">
        <v>6</v>
      </c>
      <c r="D96" s="22" t="s">
        <v>119</v>
      </c>
      <c r="E96" s="90">
        <f>INDEX('Revised 2019 Lockdown'!H$5:H$257,MATCH(B96,'Revised 2019 Lockdown'!B$5:B$257,0))</f>
        <v>36.258728414910088</v>
      </c>
      <c r="F96" s="7">
        <f>INDEX('Revised 2019 Lockdown'!E$5:E$257,MATCH(B96,'Revised 2019 Lockdown'!B$5:B$257,0))</f>
        <v>52828.79</v>
      </c>
      <c r="G96" s="7">
        <f>INDEX('Revised 2019 Lockdown'!F$5:F$257,MATCH(B96,'Revised 2019 Lockdown'!B$5:B$257,0))</f>
        <v>0</v>
      </c>
      <c r="H96" s="7">
        <f t="shared" si="11"/>
        <v>52828.79</v>
      </c>
      <c r="I96" s="6">
        <f t="shared" si="8"/>
        <v>1456.9951101284644</v>
      </c>
      <c r="J96" s="6">
        <f t="shared" si="12"/>
        <v>1456.9951101284644</v>
      </c>
      <c r="K96" s="5">
        <f t="shared" si="9"/>
        <v>52828.79</v>
      </c>
      <c r="L96" s="4">
        <f t="shared" si="10"/>
        <v>0</v>
      </c>
      <c r="M96" s="2" cm="1">
        <f t="array" ref="M96">SUMPRODUCT(--($L$6:$L$300&lt;&gt;1),--($C$6:$C$300=$C96),$H$6:$H$300)/SUMPRODUCT(--($L$6:$L$300&lt;&gt;1),--($C$6:$C$300=$C96),$E$6:$E$300)</f>
        <v>809.62205731267716</v>
      </c>
      <c r="N96" s="1" cm="1">
        <f t="array" ref="N96">SUMPRODUCT(--($L$6:$L$300&lt;&gt;1),--($C$6:$C$300=$C96))</f>
        <v>49</v>
      </c>
      <c r="O96" s="3">
        <f t="shared" si="13"/>
        <v>419091.86951203202</v>
      </c>
      <c r="P96" s="2" cm="1">
        <f t="array" ref="P96">SQRT(SUMPRODUCT(--($L$6:$L$300&lt;&gt;1),--($C$6:$C$300=$C96),$E$6:$E$300,$O$6:$O$300)/((N96-1)*SUMPRODUCT(--($L$6:$L$300&lt;&gt;1),--($C$6:$C$300=$C96),$E$6:$E$300)/N96))</f>
        <v>552.30327144124203</v>
      </c>
      <c r="Q96" s="2">
        <f t="shared" si="3"/>
        <v>101.8169351417489</v>
      </c>
      <c r="R96" s="2">
        <f t="shared" si="3"/>
        <v>1517.4271794836054</v>
      </c>
      <c r="S96" s="2">
        <f t="shared" si="14"/>
        <v>1456.9951101284644</v>
      </c>
    </row>
    <row r="97" spans="2:19" x14ac:dyDescent="0.35">
      <c r="B97">
        <v>891</v>
      </c>
      <c r="C97" s="17">
        <v>6</v>
      </c>
      <c r="D97" s="22" t="s">
        <v>120</v>
      </c>
      <c r="E97" s="90">
        <f>INDEX('Revised 2019 Lockdown'!H$5:H$257,MATCH(B97,'Revised 2019 Lockdown'!B$5:B$257,0))</f>
        <v>291.1434394945195</v>
      </c>
      <c r="F97" s="7">
        <f>INDEX('Revised 2019 Lockdown'!E$5:E$257,MATCH(B97,'Revised 2019 Lockdown'!B$5:B$257,0))</f>
        <v>101210.64</v>
      </c>
      <c r="G97" s="7">
        <f>INDEX('Revised 2019 Lockdown'!F$5:F$257,MATCH(B97,'Revised 2019 Lockdown'!B$5:B$257,0))</f>
        <v>0</v>
      </c>
      <c r="H97" s="7">
        <f t="shared" si="11"/>
        <v>101210.64</v>
      </c>
      <c r="I97" s="6">
        <f t="shared" si="8"/>
        <v>347.63153233238216</v>
      </c>
      <c r="J97" s="6">
        <f t="shared" si="12"/>
        <v>347.63153233238216</v>
      </c>
      <c r="K97" s="5">
        <f t="shared" si="9"/>
        <v>101210.64</v>
      </c>
      <c r="L97" s="4">
        <f t="shared" si="10"/>
        <v>0</v>
      </c>
      <c r="M97" s="2" cm="1">
        <f t="array" ref="M97">SUMPRODUCT(--($L$6:$L$300&lt;&gt;1),--($C$6:$C$300=$C97),$H$6:$H$300)/SUMPRODUCT(--($L$6:$L$300&lt;&gt;1),--($C$6:$C$300=$C97),$E$6:$E$300)</f>
        <v>809.62205731267716</v>
      </c>
      <c r="N97" s="1" cm="1">
        <f t="array" ref="N97">SUMPRODUCT(--($L$6:$L$300&lt;&gt;1),--($C$6:$C$300=$C97))</f>
        <v>49</v>
      </c>
      <c r="O97" s="3">
        <f t="shared" si="13"/>
        <v>213435.24517156856</v>
      </c>
      <c r="P97" s="2" cm="1">
        <f t="array" ref="P97">SQRT(SUMPRODUCT(--($L$6:$L$300&lt;&gt;1),--($C$6:$C$300=$C97),$E$6:$E$300,$O$6:$O$300)/((N97-1)*SUMPRODUCT(--($L$6:$L$300&lt;&gt;1),--($C$6:$C$300=$C97),$E$6:$E$300)/N97))</f>
        <v>552.30327144124203</v>
      </c>
      <c r="Q97" s="2">
        <f t="shared" si="3"/>
        <v>101.8169351417489</v>
      </c>
      <c r="R97" s="2">
        <f t="shared" si="3"/>
        <v>1517.4271794836054</v>
      </c>
      <c r="S97" s="2">
        <f t="shared" si="14"/>
        <v>347.63153233238216</v>
      </c>
    </row>
    <row r="98" spans="2:19" x14ac:dyDescent="0.35">
      <c r="B98">
        <v>897</v>
      </c>
      <c r="C98" s="17">
        <v>6</v>
      </c>
      <c r="D98" s="22" t="s">
        <v>231</v>
      </c>
      <c r="E98" s="90">
        <f>INDEX('Revised 2019 Lockdown'!H$5:H$257,MATCH(B98,'Revised 2019 Lockdown'!B$5:B$257,0))</f>
        <v>72.361426854937321</v>
      </c>
      <c r="F98" s="7">
        <f>INDEX('Revised 2019 Lockdown'!E$5:E$257,MATCH(B98,'Revised 2019 Lockdown'!B$5:B$257,0))</f>
        <v>311526.77</v>
      </c>
      <c r="G98" s="7">
        <f>INDEX('Revised 2019 Lockdown'!F$5:F$257,MATCH(B98,'Revised 2019 Lockdown'!B$5:B$257,0))</f>
        <v>84</v>
      </c>
      <c r="H98" s="7">
        <f t="shared" si="11"/>
        <v>311442.77</v>
      </c>
      <c r="I98" s="6">
        <f t="shared" si="8"/>
        <v>4303.9887898334036</v>
      </c>
      <c r="J98" s="6">
        <f t="shared" si="12"/>
        <v>1517.4271794836054</v>
      </c>
      <c r="K98" s="5">
        <f t="shared" si="9"/>
        <v>109803.19585589676</v>
      </c>
      <c r="L98" s="4">
        <f t="shared" si="10"/>
        <v>0</v>
      </c>
      <c r="M98" s="2" cm="1">
        <f t="array" ref="M98">SUMPRODUCT(--($L$6:$L$300&lt;&gt;1),--($C$6:$C$300=$C98),$H$6:$H$300)/SUMPRODUCT(--($L$6:$L$300&lt;&gt;1),--($C$6:$C$300=$C98),$E$6:$E$300)</f>
        <v>809.62205731267716</v>
      </c>
      <c r="N98" s="1" cm="1">
        <f t="array" ref="N98">SUMPRODUCT(--($L$6:$L$300&lt;&gt;1),--($C$6:$C$300=$C98))</f>
        <v>49</v>
      </c>
      <c r="O98" s="3">
        <f t="shared" si="13"/>
        <v>12210598.861347578</v>
      </c>
      <c r="P98" s="2" cm="1">
        <f t="array" ref="P98">SQRT(SUMPRODUCT(--($L$6:$L$300&lt;&gt;1),--($C$6:$C$300=$C98),$E$6:$E$300,$O$6:$O$300)/((N98-1)*SUMPRODUCT(--($L$6:$L$300&lt;&gt;1),--($C$6:$C$300=$C98),$E$6:$E$300)/N98))</f>
        <v>552.30327144124203</v>
      </c>
      <c r="Q98" s="2">
        <f t="shared" si="3"/>
        <v>101.8169351417489</v>
      </c>
      <c r="R98" s="2">
        <f t="shared" si="3"/>
        <v>1517.4271794836054</v>
      </c>
      <c r="S98" s="2">
        <f t="shared" si="14"/>
        <v>1517.4271794836054</v>
      </c>
    </row>
    <row r="99" spans="2:19" x14ac:dyDescent="0.35">
      <c r="B99">
        <v>904</v>
      </c>
      <c r="C99" s="17">
        <v>6</v>
      </c>
      <c r="D99" s="22" t="s">
        <v>121</v>
      </c>
      <c r="E99" s="90">
        <f>INDEX('Revised 2019 Lockdown'!H$5:H$257,MATCH(B99,'Revised 2019 Lockdown'!B$5:B$257,0))</f>
        <v>23.64144748103287</v>
      </c>
      <c r="F99" s="7">
        <f>INDEX('Revised 2019 Lockdown'!E$5:E$257,MATCH(B99,'Revised 2019 Lockdown'!B$5:B$257,0))</f>
        <v>14117.02</v>
      </c>
      <c r="G99" s="7">
        <f>INDEX('Revised 2019 Lockdown'!F$5:F$257,MATCH(B99,'Revised 2019 Lockdown'!B$5:B$257,0))</f>
        <v>0</v>
      </c>
      <c r="H99" s="7">
        <f t="shared" si="11"/>
        <v>14117.02</v>
      </c>
      <c r="I99" s="6">
        <f t="shared" si="8"/>
        <v>597.13010429356518</v>
      </c>
      <c r="J99" s="6">
        <f t="shared" si="12"/>
        <v>597.13010429356518</v>
      </c>
      <c r="K99" s="5">
        <f t="shared" si="9"/>
        <v>14117.020000000002</v>
      </c>
      <c r="L99" s="4">
        <f t="shared" si="10"/>
        <v>0</v>
      </c>
      <c r="M99" s="2" cm="1">
        <f t="array" ref="M99">SUMPRODUCT(--($L$6:$L$300&lt;&gt;1),--($C$6:$C$300=$C99),$H$6:$H$300)/SUMPRODUCT(--($L$6:$L$300&lt;&gt;1),--($C$6:$C$300=$C99),$E$6:$E$300)</f>
        <v>809.62205731267716</v>
      </c>
      <c r="N99" s="1" cm="1">
        <f t="array" ref="N99">SUMPRODUCT(--($L$6:$L$300&lt;&gt;1),--($C$6:$C$300=$C99))</f>
        <v>49</v>
      </c>
      <c r="O99" s="3">
        <f t="shared" si="13"/>
        <v>45152.830097876489</v>
      </c>
      <c r="P99" s="2" cm="1">
        <f t="array" ref="P99">SQRT(SUMPRODUCT(--($L$6:$L$300&lt;&gt;1),--($C$6:$C$300=$C99),$E$6:$E$300,$O$6:$O$300)/((N99-1)*SUMPRODUCT(--($L$6:$L$300&lt;&gt;1),--($C$6:$C$300=$C99),$E$6:$E$300)/N99))</f>
        <v>552.30327144124203</v>
      </c>
      <c r="Q99" s="2">
        <f t="shared" si="3"/>
        <v>101.8169351417489</v>
      </c>
      <c r="R99" s="2">
        <f t="shared" si="3"/>
        <v>1517.4271794836054</v>
      </c>
      <c r="S99" s="2">
        <f t="shared" si="14"/>
        <v>597.13010429356518</v>
      </c>
    </row>
    <row r="100" spans="2:19" x14ac:dyDescent="0.35">
      <c r="B100">
        <v>906</v>
      </c>
      <c r="C100" s="17">
        <v>6</v>
      </c>
      <c r="D100" s="22" t="s">
        <v>292</v>
      </c>
      <c r="E100" s="90">
        <f>INDEX('Revised 2019 Lockdown'!H$5:H$257,MATCH(B100,'Revised 2019 Lockdown'!B$5:B$257,0))</f>
        <v>251.9</v>
      </c>
      <c r="F100" s="7">
        <f>INDEX('Revised 2019 Lockdown'!E$5:E$257,MATCH(B100,'Revised 2019 Lockdown'!B$5:B$257,0))</f>
        <v>141116.71</v>
      </c>
      <c r="G100" s="7">
        <f>INDEX('Revised 2019 Lockdown'!F$5:F$257,MATCH(B100,'Revised 2019 Lockdown'!B$5:B$257,0))</f>
        <v>58.4</v>
      </c>
      <c r="H100" s="7">
        <f t="shared" si="11"/>
        <v>141058.31</v>
      </c>
      <c r="I100" s="6">
        <f t="shared" si="8"/>
        <v>559.97741167129811</v>
      </c>
      <c r="J100" s="6">
        <f t="shared" si="12"/>
        <v>559.97741167129811</v>
      </c>
      <c r="K100" s="5">
        <f t="shared" si="9"/>
        <v>141058.31</v>
      </c>
      <c r="L100" s="4">
        <f t="shared" si="10"/>
        <v>0</v>
      </c>
      <c r="M100" s="2" cm="1">
        <f t="array" ref="M100">SUMPRODUCT(--($L$6:$L$300&lt;&gt;1),--($C$6:$C$300=$C100),$H$6:$H$300)/SUMPRODUCT(--($L$6:$L$300&lt;&gt;1),--($C$6:$C$300=$C100),$E$6:$E$300)</f>
        <v>809.62205731267716</v>
      </c>
      <c r="N100" s="1" cm="1">
        <f t="array" ref="N100">SUMPRODUCT(--($L$6:$L$300&lt;&gt;1),--($C$6:$C$300=$C100))</f>
        <v>49</v>
      </c>
      <c r="O100" s="3">
        <f t="shared" si="13"/>
        <v>62322.449097409713</v>
      </c>
      <c r="P100" s="2" cm="1">
        <f t="array" ref="P100">SQRT(SUMPRODUCT(--($L$6:$L$300&lt;&gt;1),--($C$6:$C$300=$C100),$E$6:$E$300,$O$6:$O$300)/((N100-1)*SUMPRODUCT(--($L$6:$L$300&lt;&gt;1),--($C$6:$C$300=$C100),$E$6:$E$300)/N100))</f>
        <v>552.30327144124203</v>
      </c>
      <c r="Q100" s="2">
        <f t="shared" si="3"/>
        <v>101.8169351417489</v>
      </c>
      <c r="R100" s="2">
        <f t="shared" si="3"/>
        <v>1517.4271794836054</v>
      </c>
      <c r="S100" s="2">
        <f t="shared" si="14"/>
        <v>559.97741167129811</v>
      </c>
    </row>
    <row r="101" spans="2:19" x14ac:dyDescent="0.35">
      <c r="B101">
        <v>917</v>
      </c>
      <c r="C101" s="17">
        <v>6</v>
      </c>
      <c r="D101" s="22" t="s">
        <v>293</v>
      </c>
      <c r="E101" s="90">
        <f>INDEX('Revised 2019 Lockdown'!H$5:H$257,MATCH(B101,'Revised 2019 Lockdown'!B$5:B$257,0))</f>
        <v>188.10307825939799</v>
      </c>
      <c r="F101" s="7">
        <f>INDEX('Revised 2019 Lockdown'!E$5:E$257,MATCH(B101,'Revised 2019 Lockdown'!B$5:B$257,0))</f>
        <v>59201.33</v>
      </c>
      <c r="G101" s="7">
        <f>INDEX('Revised 2019 Lockdown'!F$5:F$257,MATCH(B101,'Revised 2019 Lockdown'!B$5:B$257,0))</f>
        <v>0</v>
      </c>
      <c r="H101" s="7">
        <f t="shared" si="11"/>
        <v>59201.33</v>
      </c>
      <c r="I101" s="6">
        <f t="shared" si="8"/>
        <v>314.72812963943181</v>
      </c>
      <c r="J101" s="6">
        <f t="shared" si="12"/>
        <v>314.72812963943181</v>
      </c>
      <c r="K101" s="5">
        <f t="shared" si="9"/>
        <v>59201.33</v>
      </c>
      <c r="L101" s="4">
        <f t="shared" si="10"/>
        <v>0</v>
      </c>
      <c r="M101" s="2" cm="1">
        <f t="array" ref="M101">SUMPRODUCT(--($L$6:$L$300&lt;&gt;1),--($C$6:$C$300=$C101),$H$6:$H$300)/SUMPRODUCT(--($L$6:$L$300&lt;&gt;1),--($C$6:$C$300=$C101),$E$6:$E$300)</f>
        <v>809.62205731267716</v>
      </c>
      <c r="N101" s="1" cm="1">
        <f t="array" ref="N101">SUMPRODUCT(--($L$6:$L$300&lt;&gt;1),--($C$6:$C$300=$C101))</f>
        <v>49</v>
      </c>
      <c r="O101" s="3">
        <f t="shared" si="13"/>
        <v>244919.99964785139</v>
      </c>
      <c r="P101" s="2" cm="1">
        <f t="array" ref="P101">SQRT(SUMPRODUCT(--($L$6:$L$300&lt;&gt;1),--($C$6:$C$300=$C101),$E$6:$E$300,$O$6:$O$300)/((N101-1)*SUMPRODUCT(--($L$6:$L$300&lt;&gt;1),--($C$6:$C$300=$C101),$E$6:$E$300)/N101))</f>
        <v>552.30327144124203</v>
      </c>
      <c r="Q101" s="2">
        <f t="shared" si="3"/>
        <v>101.8169351417489</v>
      </c>
      <c r="R101" s="2">
        <f t="shared" si="3"/>
        <v>1517.4271794836054</v>
      </c>
      <c r="S101" s="2">
        <f t="shared" si="14"/>
        <v>314.72812963943181</v>
      </c>
    </row>
    <row r="102" spans="2:19" x14ac:dyDescent="0.35">
      <c r="B102">
        <v>957</v>
      </c>
      <c r="C102" s="17">
        <v>6</v>
      </c>
      <c r="D102" s="22" t="s">
        <v>122</v>
      </c>
      <c r="E102" s="90">
        <f>INDEX('Revised 2019 Lockdown'!H$5:H$257,MATCH(B102,'Revised 2019 Lockdown'!B$5:B$257,0))</f>
        <v>101.14874671311182</v>
      </c>
      <c r="F102" s="7">
        <f>INDEX('Revised 2019 Lockdown'!E$5:E$257,MATCH(B102,'Revised 2019 Lockdown'!B$5:B$257,0))</f>
        <v>40203.24</v>
      </c>
      <c r="G102" s="7">
        <f>INDEX('Revised 2019 Lockdown'!F$5:F$257,MATCH(B102,'Revised 2019 Lockdown'!B$5:B$257,0))</f>
        <v>0</v>
      </c>
      <c r="H102" s="7">
        <f t="shared" si="11"/>
        <v>40203.24</v>
      </c>
      <c r="I102" s="6">
        <f t="shared" si="8"/>
        <v>397.46651645648603</v>
      </c>
      <c r="J102" s="6">
        <f t="shared" si="12"/>
        <v>397.46651645648603</v>
      </c>
      <c r="K102" s="5">
        <f t="shared" si="9"/>
        <v>40203.24</v>
      </c>
      <c r="L102" s="4">
        <f t="shared" si="10"/>
        <v>0</v>
      </c>
      <c r="M102" s="2" cm="1">
        <f t="array" ref="M102">SUMPRODUCT(--($L$6:$L$300&lt;&gt;1),--($C$6:$C$300=$C102),$H$6:$H$300)/SUMPRODUCT(--($L$6:$L$300&lt;&gt;1),--($C$6:$C$300=$C102),$E$6:$E$300)</f>
        <v>809.62205731267716</v>
      </c>
      <c r="N102" s="1" cm="1">
        <f t="array" ref="N102">SUMPRODUCT(--($L$6:$L$300&lt;&gt;1),--($C$6:$C$300=$C102))</f>
        <v>49</v>
      </c>
      <c r="O102" s="3">
        <f t="shared" si="13"/>
        <v>169872.18985845943</v>
      </c>
      <c r="P102" s="2" cm="1">
        <f t="array" ref="P102">SQRT(SUMPRODUCT(--($L$6:$L$300&lt;&gt;1),--($C$6:$C$300=$C102),$E$6:$E$300,$O$6:$O$300)/((N102-1)*SUMPRODUCT(--($L$6:$L$300&lt;&gt;1),--($C$6:$C$300=$C102),$E$6:$E$300)/N102))</f>
        <v>552.30327144124203</v>
      </c>
      <c r="Q102" s="2">
        <f t="shared" si="3"/>
        <v>101.8169351417489</v>
      </c>
      <c r="R102" s="2">
        <f t="shared" si="3"/>
        <v>1517.4271794836054</v>
      </c>
      <c r="S102" s="2">
        <f t="shared" si="14"/>
        <v>397.46651645648603</v>
      </c>
    </row>
    <row r="103" spans="2:19" x14ac:dyDescent="0.35">
      <c r="B103">
        <v>959</v>
      </c>
      <c r="C103" s="17">
        <v>6</v>
      </c>
      <c r="D103" s="22" t="s">
        <v>123</v>
      </c>
      <c r="E103" s="90">
        <f>INDEX('Revised 2019 Lockdown'!H$5:H$257,MATCH(B103,'Revised 2019 Lockdown'!B$5:B$257,0))</f>
        <v>330.53645925433352</v>
      </c>
      <c r="F103" s="7">
        <f>INDEX('Revised 2019 Lockdown'!E$5:E$257,MATCH(B103,'Revised 2019 Lockdown'!B$5:B$257,0))</f>
        <v>123075.62</v>
      </c>
      <c r="G103" s="7">
        <f>INDEX('Revised 2019 Lockdown'!F$5:F$257,MATCH(B103,'Revised 2019 Lockdown'!B$5:B$257,0))</f>
        <v>0</v>
      </c>
      <c r="H103" s="7">
        <f t="shared" si="11"/>
        <v>123075.62</v>
      </c>
      <c r="I103" s="6">
        <f t="shared" si="8"/>
        <v>372.35111756702952</v>
      </c>
      <c r="J103" s="6">
        <f t="shared" si="12"/>
        <v>372.35111756702952</v>
      </c>
      <c r="K103" s="5">
        <f t="shared" si="9"/>
        <v>123075.62000000001</v>
      </c>
      <c r="L103" s="4">
        <f t="shared" si="10"/>
        <v>0</v>
      </c>
      <c r="M103" s="2" cm="1">
        <f t="array" ref="M103">SUMPRODUCT(--($L$6:$L$300&lt;&gt;1),--($C$6:$C$300=$C103),$H$6:$H$300)/SUMPRODUCT(--($L$6:$L$300&lt;&gt;1),--($C$6:$C$300=$C103),$E$6:$E$300)</f>
        <v>809.62205731267716</v>
      </c>
      <c r="N103" s="1" cm="1">
        <f t="array" ref="N103">SUMPRODUCT(--($L$6:$L$300&lt;&gt;1),--($C$6:$C$300=$C103))</f>
        <v>49</v>
      </c>
      <c r="O103" s="3">
        <f t="shared" si="13"/>
        <v>191205.87474604181</v>
      </c>
      <c r="P103" s="2" cm="1">
        <f t="array" ref="P103">SQRT(SUMPRODUCT(--($L$6:$L$300&lt;&gt;1),--($C$6:$C$300=$C103),$E$6:$E$300,$O$6:$O$300)/((N103-1)*SUMPRODUCT(--($L$6:$L$300&lt;&gt;1),--($C$6:$C$300=$C103),$E$6:$E$300)/N103))</f>
        <v>552.30327144124203</v>
      </c>
      <c r="Q103" s="2">
        <f t="shared" si="3"/>
        <v>101.8169351417489</v>
      </c>
      <c r="R103" s="2">
        <f t="shared" si="3"/>
        <v>1517.4271794836054</v>
      </c>
      <c r="S103" s="2">
        <f t="shared" si="14"/>
        <v>372.35111756702952</v>
      </c>
    </row>
    <row r="104" spans="2:19" x14ac:dyDescent="0.35">
      <c r="B104">
        <v>969</v>
      </c>
      <c r="C104" s="17">
        <v>6</v>
      </c>
      <c r="D104" s="22" t="s">
        <v>294</v>
      </c>
      <c r="E104" s="90">
        <f>INDEX('Revised 2019 Lockdown'!H$5:H$257,MATCH(B104,'Revised 2019 Lockdown'!B$5:B$257,0))</f>
        <v>20.253027862922973</v>
      </c>
      <c r="F104" s="7">
        <f>INDEX('Revised 2019 Lockdown'!E$5:E$257,MATCH(B104,'Revised 2019 Lockdown'!B$5:B$257,0))</f>
        <v>87738.63</v>
      </c>
      <c r="G104" s="7">
        <f>INDEX('Revised 2019 Lockdown'!F$5:F$257,MATCH(B104,'Revised 2019 Lockdown'!B$5:B$257,0))</f>
        <v>0</v>
      </c>
      <c r="H104" s="7">
        <f t="shared" si="11"/>
        <v>87738.63</v>
      </c>
      <c r="I104" s="6">
        <f t="shared" si="8"/>
        <v>4332.124094917298</v>
      </c>
      <c r="J104" s="6">
        <f t="shared" si="12"/>
        <v>1517.4271794836054</v>
      </c>
      <c r="K104" s="5">
        <f t="shared" si="9"/>
        <v>30732.494946038081</v>
      </c>
      <c r="L104" s="4">
        <f t="shared" si="10"/>
        <v>0</v>
      </c>
      <c r="M104" s="2" cm="1">
        <f t="array" ref="M104">SUMPRODUCT(--($L$6:$L$300&lt;&gt;1),--($C$6:$C$300=$C104),$H$6:$H$300)/SUMPRODUCT(--($L$6:$L$300&lt;&gt;1),--($C$6:$C$300=$C104),$E$6:$E$300)</f>
        <v>809.62205731267716</v>
      </c>
      <c r="N104" s="1" cm="1">
        <f t="array" ref="N104">SUMPRODUCT(--($L$6:$L$300&lt;&gt;1),--($C$6:$C$300=$C104))</f>
        <v>49</v>
      </c>
      <c r="O104" s="3">
        <f t="shared" si="13"/>
        <v>12408020.604928706</v>
      </c>
      <c r="P104" s="2" cm="1">
        <f t="array" ref="P104">SQRT(SUMPRODUCT(--($L$6:$L$300&lt;&gt;1),--($C$6:$C$300=$C104),$E$6:$E$300,$O$6:$O$300)/((N104-1)*SUMPRODUCT(--($L$6:$L$300&lt;&gt;1),--($C$6:$C$300=$C104),$E$6:$E$300)/N104))</f>
        <v>552.30327144124203</v>
      </c>
      <c r="Q104" s="2">
        <f t="shared" si="3"/>
        <v>101.8169351417489</v>
      </c>
      <c r="R104" s="2">
        <f t="shared" si="3"/>
        <v>1517.4271794836054</v>
      </c>
      <c r="S104" s="2">
        <f t="shared" si="14"/>
        <v>1517.4271794836054</v>
      </c>
    </row>
    <row r="105" spans="2:19" x14ac:dyDescent="0.35">
      <c r="B105">
        <v>970</v>
      </c>
      <c r="C105" s="17">
        <v>6</v>
      </c>
      <c r="D105" s="22" t="s">
        <v>124</v>
      </c>
      <c r="E105" s="90">
        <f>INDEX('Revised 2019 Lockdown'!H$5:H$257,MATCH(B105,'Revised 2019 Lockdown'!B$5:B$257,0))</f>
        <v>155.95183681022218</v>
      </c>
      <c r="F105" s="7">
        <f>INDEX('Revised 2019 Lockdown'!E$5:E$257,MATCH(B105,'Revised 2019 Lockdown'!B$5:B$257,0))</f>
        <v>73920.09</v>
      </c>
      <c r="G105" s="7">
        <f>INDEX('Revised 2019 Lockdown'!F$5:F$257,MATCH(B105,'Revised 2019 Lockdown'!B$5:B$257,0))</f>
        <v>161.72</v>
      </c>
      <c r="H105" s="7">
        <f t="shared" si="11"/>
        <v>73758.37</v>
      </c>
      <c r="I105" s="6">
        <f t="shared" si="8"/>
        <v>472.9560838052621</v>
      </c>
      <c r="J105" s="6">
        <f t="shared" si="12"/>
        <v>472.9560838052621</v>
      </c>
      <c r="K105" s="5">
        <f t="shared" si="9"/>
        <v>73758.37</v>
      </c>
      <c r="L105" s="4">
        <f t="shared" si="10"/>
        <v>0</v>
      </c>
      <c r="M105" s="2" cm="1">
        <f t="array" ref="M105">SUMPRODUCT(--($L$6:$L$300&lt;&gt;1),--($C$6:$C$300=$C105),$H$6:$H$300)/SUMPRODUCT(--($L$6:$L$300&lt;&gt;1),--($C$6:$C$300=$C105),$E$6:$E$300)</f>
        <v>809.62205731267716</v>
      </c>
      <c r="N105" s="1" cm="1">
        <f t="array" ref="N105">SUMPRODUCT(--($L$6:$L$300&lt;&gt;1),--($C$6:$C$300=$C105))</f>
        <v>49</v>
      </c>
      <c r="O105" s="3">
        <f t="shared" si="13"/>
        <v>113343.9777176955</v>
      </c>
      <c r="P105" s="2" cm="1">
        <f t="array" ref="P105">SQRT(SUMPRODUCT(--($L$6:$L$300&lt;&gt;1),--($C$6:$C$300=$C105),$E$6:$E$300,$O$6:$O$300)/((N105-1)*SUMPRODUCT(--($L$6:$L$300&lt;&gt;1),--($C$6:$C$300=$C105),$E$6:$E$300)/N105))</f>
        <v>552.30327144124203</v>
      </c>
      <c r="Q105" s="2">
        <f t="shared" si="3"/>
        <v>101.8169351417489</v>
      </c>
      <c r="R105" s="2">
        <f t="shared" si="3"/>
        <v>1517.4271794836054</v>
      </c>
      <c r="S105" s="2">
        <f t="shared" si="14"/>
        <v>472.9560838052621</v>
      </c>
    </row>
    <row r="106" spans="2:19" x14ac:dyDescent="0.35">
      <c r="B106">
        <v>978</v>
      </c>
      <c r="C106" s="17">
        <v>6</v>
      </c>
      <c r="D106" s="22" t="s">
        <v>242</v>
      </c>
      <c r="E106" s="90">
        <f>INDEX('Revised 2019 Lockdown'!H$5:H$257,MATCH(B106,'Revised 2019 Lockdown'!B$5:B$257,0))</f>
        <v>25.008086578565759</v>
      </c>
      <c r="F106" s="7">
        <f>INDEX('Revised 2019 Lockdown'!E$5:E$257,MATCH(B106,'Revised 2019 Lockdown'!B$5:B$257,0))</f>
        <v>28052.51</v>
      </c>
      <c r="G106" s="7">
        <f>INDEX('Revised 2019 Lockdown'!F$5:F$257,MATCH(B106,'Revised 2019 Lockdown'!B$5:B$257,0))</f>
        <v>0</v>
      </c>
      <c r="H106" s="7">
        <f t="shared" si="11"/>
        <v>28052.51</v>
      </c>
      <c r="I106" s="6">
        <f t="shared" si="8"/>
        <v>1121.7375592438805</v>
      </c>
      <c r="J106" s="6">
        <f t="shared" si="12"/>
        <v>1121.7375592438805</v>
      </c>
      <c r="K106" s="5">
        <f t="shared" si="9"/>
        <v>28052.510000000002</v>
      </c>
      <c r="L106" s="4">
        <f t="shared" si="10"/>
        <v>0</v>
      </c>
      <c r="M106" s="2" cm="1">
        <f t="array" ref="M106">SUMPRODUCT(--($L$6:$L$300&lt;&gt;1),--($C$6:$C$300=$C106),$H$6:$H$300)/SUMPRODUCT(--($L$6:$L$300&lt;&gt;1),--($C$6:$C$300=$C106),$E$6:$E$300)</f>
        <v>809.62205731267716</v>
      </c>
      <c r="N106" s="1" cm="1">
        <f t="array" ref="N106">SUMPRODUCT(--($L$6:$L$300&lt;&gt;1),--($C$6:$C$300=$C106))</f>
        <v>49</v>
      </c>
      <c r="O106" s="3">
        <f t="shared" si="13"/>
        <v>97416.086545766972</v>
      </c>
      <c r="P106" s="2" cm="1">
        <f t="array" ref="P106">SQRT(SUMPRODUCT(--($L$6:$L$300&lt;&gt;1),--($C$6:$C$300=$C106),$E$6:$E$300,$O$6:$O$300)/((N106-1)*SUMPRODUCT(--($L$6:$L$300&lt;&gt;1),--($C$6:$C$300=$C106),$E$6:$E$300)/N106))</f>
        <v>552.30327144124203</v>
      </c>
      <c r="Q106" s="2">
        <f t="shared" si="3"/>
        <v>101.8169351417489</v>
      </c>
      <c r="R106" s="2">
        <f t="shared" si="3"/>
        <v>1517.4271794836054</v>
      </c>
      <c r="S106" s="2">
        <f t="shared" si="14"/>
        <v>1121.7375592438805</v>
      </c>
    </row>
    <row r="107" spans="2:19" x14ac:dyDescent="0.35">
      <c r="B107">
        <v>986</v>
      </c>
      <c r="C107" s="17">
        <v>6</v>
      </c>
      <c r="D107" s="22" t="s">
        <v>126</v>
      </c>
      <c r="E107" s="90">
        <f>INDEX('Revised 2019 Lockdown'!H$5:H$257,MATCH(B107,'Revised 2019 Lockdown'!B$5:B$257,0))</f>
        <v>7.8194298879459128</v>
      </c>
      <c r="F107" s="7">
        <f>INDEX('Revised 2019 Lockdown'!E$5:E$257,MATCH(B107,'Revised 2019 Lockdown'!B$5:B$257,0))</f>
        <v>43562.55</v>
      </c>
      <c r="G107" s="7">
        <f>INDEX('Revised 2019 Lockdown'!F$5:F$257,MATCH(B107,'Revised 2019 Lockdown'!B$5:B$257,0))</f>
        <v>0</v>
      </c>
      <c r="H107" s="7">
        <f t="shared" si="11"/>
        <v>43562.55</v>
      </c>
      <c r="I107" s="6">
        <f t="shared" si="8"/>
        <v>5571.0647226537712</v>
      </c>
      <c r="J107" s="6">
        <f t="shared" si="12"/>
        <v>1517.4271794836054</v>
      </c>
      <c r="K107" s="5">
        <f t="shared" si="9"/>
        <v>11865.415440035571</v>
      </c>
      <c r="L107" s="4">
        <f t="shared" si="10"/>
        <v>0</v>
      </c>
      <c r="M107" s="2" cm="1">
        <f t="array" ref="M107">SUMPRODUCT(--($L$6:$L$300&lt;&gt;1),--($C$6:$C$300=$C107),$H$6:$H$300)/SUMPRODUCT(--($L$6:$L$300&lt;&gt;1),--($C$6:$C$300=$C107),$E$6:$E$300)</f>
        <v>809.62205731267716</v>
      </c>
      <c r="N107" s="1" cm="1">
        <f t="array" ref="N107">SUMPRODUCT(--($L$6:$L$300&lt;&gt;1),--($C$6:$C$300=$C107))</f>
        <v>49</v>
      </c>
      <c r="O107" s="3">
        <f t="shared" si="13"/>
        <v>22671336.255330499</v>
      </c>
      <c r="P107" s="2" cm="1">
        <f t="array" ref="P107">SQRT(SUMPRODUCT(--($L$6:$L$300&lt;&gt;1),--($C$6:$C$300=$C107),$E$6:$E$300,$O$6:$O$300)/((N107-1)*SUMPRODUCT(--($L$6:$L$300&lt;&gt;1),--($C$6:$C$300=$C107),$E$6:$E$300)/N107))</f>
        <v>552.30327144124203</v>
      </c>
      <c r="Q107" s="2">
        <f t="shared" si="3"/>
        <v>101.8169351417489</v>
      </c>
      <c r="R107" s="2">
        <f t="shared" si="3"/>
        <v>1517.4271794836054</v>
      </c>
      <c r="S107" s="2">
        <f t="shared" si="14"/>
        <v>1517.4271794836054</v>
      </c>
    </row>
    <row r="108" spans="2:19" x14ac:dyDescent="0.35">
      <c r="B108">
        <v>988</v>
      </c>
      <c r="C108" s="17">
        <v>6</v>
      </c>
      <c r="D108" s="22" t="s">
        <v>127</v>
      </c>
      <c r="E108" s="90">
        <f>INDEX('Revised 2019 Lockdown'!H$5:H$257,MATCH(B108,'Revised 2019 Lockdown'!B$5:B$257,0))</f>
        <v>133.20495744908894</v>
      </c>
      <c r="F108" s="7">
        <f>INDEX('Revised 2019 Lockdown'!E$5:E$257,MATCH(B108,'Revised 2019 Lockdown'!B$5:B$257,0))</f>
        <v>132703.88</v>
      </c>
      <c r="G108" s="7">
        <f>INDEX('Revised 2019 Lockdown'!F$5:F$257,MATCH(B108,'Revised 2019 Lockdown'!B$5:B$257,0))</f>
        <v>91</v>
      </c>
      <c r="H108" s="7">
        <f t="shared" si="11"/>
        <v>132612.88</v>
      </c>
      <c r="I108" s="6">
        <f t="shared" si="8"/>
        <v>995.55513953513912</v>
      </c>
      <c r="J108" s="6">
        <f t="shared" si="12"/>
        <v>995.55513953513912</v>
      </c>
      <c r="K108" s="5">
        <f t="shared" si="9"/>
        <v>132612.88</v>
      </c>
      <c r="L108" s="4">
        <f t="shared" si="10"/>
        <v>0</v>
      </c>
      <c r="M108" s="2" cm="1">
        <f t="array" ref="M108">SUMPRODUCT(--($L$6:$L$300&lt;&gt;1),--($C$6:$C$300=$C108),$H$6:$H$300)/SUMPRODUCT(--($L$6:$L$300&lt;&gt;1),--($C$6:$C$300=$C108),$E$6:$E$300)</f>
        <v>809.62205731267716</v>
      </c>
      <c r="N108" s="1" cm="1">
        <f t="array" ref="N108">SUMPRODUCT(--($L$6:$L$300&lt;&gt;1),--($C$6:$C$300=$C108))</f>
        <v>49</v>
      </c>
      <c r="O108" s="3">
        <f t="shared" si="13"/>
        <v>34571.1110647448</v>
      </c>
      <c r="P108" s="2" cm="1">
        <f t="array" ref="P108">SQRT(SUMPRODUCT(--($L$6:$L$300&lt;&gt;1),--($C$6:$C$300=$C108),$E$6:$E$300,$O$6:$O$300)/((N108-1)*SUMPRODUCT(--($L$6:$L$300&lt;&gt;1),--($C$6:$C$300=$C108),$E$6:$E$300)/N108))</f>
        <v>552.30327144124203</v>
      </c>
      <c r="Q108" s="2">
        <f t="shared" si="3"/>
        <v>101.8169351417489</v>
      </c>
      <c r="R108" s="2">
        <f t="shared" si="3"/>
        <v>1517.4271794836054</v>
      </c>
      <c r="S108" s="2">
        <f t="shared" si="14"/>
        <v>995.55513953513912</v>
      </c>
    </row>
    <row r="109" spans="2:19" x14ac:dyDescent="0.35">
      <c r="B109">
        <v>989</v>
      </c>
      <c r="C109" s="17">
        <v>6</v>
      </c>
      <c r="D109" s="22" t="s">
        <v>128</v>
      </c>
      <c r="E109" s="90">
        <f>INDEX('Revised 2019 Lockdown'!H$5:H$257,MATCH(B109,'Revised 2019 Lockdown'!B$5:B$257,0))</f>
        <v>311.67824861466573</v>
      </c>
      <c r="F109" s="7">
        <f>INDEX('Revised 2019 Lockdown'!E$5:E$257,MATCH(B109,'Revised 2019 Lockdown'!B$5:B$257,0))</f>
        <v>276934.09999999998</v>
      </c>
      <c r="G109" s="7">
        <f>INDEX('Revised 2019 Lockdown'!F$5:F$257,MATCH(B109,'Revised 2019 Lockdown'!B$5:B$257,0))</f>
        <v>36351.42</v>
      </c>
      <c r="H109" s="7">
        <f t="shared" si="11"/>
        <v>240582.68</v>
      </c>
      <c r="I109" s="6">
        <f t="shared" si="8"/>
        <v>771.89435281201588</v>
      </c>
      <c r="J109" s="6">
        <f t="shared" si="12"/>
        <v>771.89435281201588</v>
      </c>
      <c r="K109" s="5">
        <f t="shared" si="9"/>
        <v>240582.68</v>
      </c>
      <c r="L109" s="4">
        <f t="shared" si="10"/>
        <v>0</v>
      </c>
      <c r="M109" s="2" cm="1">
        <f t="array" ref="M109">SUMPRODUCT(--($L$6:$L$300&lt;&gt;1),--($C$6:$C$300=$C109),$H$6:$H$300)/SUMPRODUCT(--($L$6:$L$300&lt;&gt;1),--($C$6:$C$300=$C109),$E$6:$E$300)</f>
        <v>809.62205731267716</v>
      </c>
      <c r="N109" s="1" cm="1">
        <f t="array" ref="N109">SUMPRODUCT(--($L$6:$L$300&lt;&gt;1),--($C$6:$C$300=$C109))</f>
        <v>49</v>
      </c>
      <c r="O109" s="3">
        <f t="shared" si="13"/>
        <v>1423.3796868892171</v>
      </c>
      <c r="P109" s="2" cm="1">
        <f t="array" ref="P109">SQRT(SUMPRODUCT(--($L$6:$L$300&lt;&gt;1),--($C$6:$C$300=$C109),$E$6:$E$300,$O$6:$O$300)/((N109-1)*SUMPRODUCT(--($L$6:$L$300&lt;&gt;1),--($C$6:$C$300=$C109),$E$6:$E$300)/N109))</f>
        <v>552.30327144124203</v>
      </c>
      <c r="Q109" s="2">
        <f t="shared" si="3"/>
        <v>101.8169351417489</v>
      </c>
      <c r="R109" s="2">
        <f t="shared" si="3"/>
        <v>1517.4271794836054</v>
      </c>
      <c r="S109" s="2">
        <f t="shared" si="14"/>
        <v>771.89435281201588</v>
      </c>
    </row>
    <row r="110" spans="2:19" x14ac:dyDescent="0.35">
      <c r="B110">
        <v>39</v>
      </c>
      <c r="C110" s="17">
        <v>7</v>
      </c>
      <c r="D110" s="22" t="s">
        <v>129</v>
      </c>
      <c r="E110" s="90">
        <f>INDEX('Revised 2019 Lockdown'!H$5:H$257,MATCH(B110,'Revised 2019 Lockdown'!B$5:B$257,0))</f>
        <v>314.39</v>
      </c>
      <c r="F110" s="7">
        <f>INDEX('Revised 2019 Lockdown'!E$5:E$257,MATCH(B110,'Revised 2019 Lockdown'!B$5:B$257,0))</f>
        <v>131981.43</v>
      </c>
      <c r="G110" s="7">
        <f>INDEX('Revised 2019 Lockdown'!F$5:F$257,MATCH(B110,'Revised 2019 Lockdown'!B$5:B$257,0))</f>
        <v>1501.53</v>
      </c>
      <c r="H110" s="7">
        <f t="shared" si="11"/>
        <v>130479.9</v>
      </c>
      <c r="I110" s="6">
        <f t="shared" si="8"/>
        <v>415.02560514011259</v>
      </c>
      <c r="J110" s="6">
        <f t="shared" si="12"/>
        <v>415.02560514011259</v>
      </c>
      <c r="K110" s="5">
        <f t="shared" si="9"/>
        <v>130479.9</v>
      </c>
      <c r="L110" s="4">
        <f t="shared" si="10"/>
        <v>0</v>
      </c>
      <c r="M110" s="2" cm="1">
        <f t="array" ref="M110">SUMPRODUCT(--($L$6:$L$300&lt;&gt;1),--($C$6:$C$300=$C110),$H$6:$H$300)/SUMPRODUCT(--($L$6:$L$300&lt;&gt;1),--($C$6:$C$300=$C110),$E$6:$E$300)</f>
        <v>542.01839206271461</v>
      </c>
      <c r="N110" s="1" cm="1">
        <f t="array" ref="N110">SUMPRODUCT(--($L$6:$L$300&lt;&gt;1),--($C$6:$C$300=$C110))</f>
        <v>69</v>
      </c>
      <c r="O110" s="3">
        <f t="shared" si="13"/>
        <v>16127.1679303694</v>
      </c>
      <c r="P110" s="2" cm="1">
        <f t="array" ref="P110">SQRT(SUMPRODUCT(--($L$6:$L$300&lt;&gt;1),--($C$6:$C$300=$C110),$E$6:$E$300,$O$6:$O$300)/((N110-1)*SUMPRODUCT(--($L$6:$L$300&lt;&gt;1),--($C$6:$C$300=$C110),$E$6:$E$300)/N110))</f>
        <v>187.73865342151541</v>
      </c>
      <c r="Q110" s="2">
        <f t="shared" si="3"/>
        <v>301.42162685713635</v>
      </c>
      <c r="R110" s="2">
        <f t="shared" si="3"/>
        <v>782.61515726829293</v>
      </c>
      <c r="S110" s="2">
        <f t="shared" si="14"/>
        <v>415.02560514011259</v>
      </c>
    </row>
    <row r="111" spans="2:19" x14ac:dyDescent="0.35">
      <c r="B111">
        <v>59</v>
      </c>
      <c r="C111" s="17">
        <v>7</v>
      </c>
      <c r="D111" s="22" t="s">
        <v>130</v>
      </c>
      <c r="E111" s="90">
        <f>INDEX('Revised 2019 Lockdown'!H$5:H$257,MATCH(B111,'Revised 2019 Lockdown'!B$5:B$257,0))</f>
        <v>199.24752698257859</v>
      </c>
      <c r="F111" s="7">
        <f>INDEX('Revised 2019 Lockdown'!E$5:E$257,MATCH(B111,'Revised 2019 Lockdown'!B$5:B$257,0))</f>
        <v>176388.86</v>
      </c>
      <c r="G111" s="7">
        <f>INDEX('Revised 2019 Lockdown'!F$5:F$257,MATCH(B111,'Revised 2019 Lockdown'!B$5:B$257,0))</f>
        <v>0</v>
      </c>
      <c r="H111" s="7">
        <f t="shared" si="11"/>
        <v>176388.86</v>
      </c>
      <c r="I111" s="6">
        <f t="shared" si="8"/>
        <v>885.27502785729791</v>
      </c>
      <c r="J111" s="6">
        <f t="shared" si="12"/>
        <v>782.61515726829293</v>
      </c>
      <c r="K111" s="5">
        <f t="shared" si="9"/>
        <v>155934.13466478919</v>
      </c>
      <c r="L111" s="4">
        <f t="shared" si="10"/>
        <v>0</v>
      </c>
      <c r="M111" s="2" cm="1">
        <f t="array" ref="M111">SUMPRODUCT(--($L$6:$L$300&lt;&gt;1),--($C$6:$C$300=$C111),$H$6:$H$300)/SUMPRODUCT(--($L$6:$L$300&lt;&gt;1),--($C$6:$C$300=$C111),$E$6:$E$300)</f>
        <v>542.01839206271461</v>
      </c>
      <c r="N111" s="1" cm="1">
        <f t="array" ref="N111">SUMPRODUCT(--($L$6:$L$300&lt;&gt;1),--($C$6:$C$300=$C111))</f>
        <v>69</v>
      </c>
      <c r="O111" s="3">
        <f t="shared" si="13"/>
        <v>117825.11801701521</v>
      </c>
      <c r="P111" s="2" cm="1">
        <f t="array" ref="P111">SQRT(SUMPRODUCT(--($L$6:$L$300&lt;&gt;1),--($C$6:$C$300=$C111),$E$6:$E$300,$O$6:$O$300)/((N111-1)*SUMPRODUCT(--($L$6:$L$300&lt;&gt;1),--($C$6:$C$300=$C111),$E$6:$E$300)/N111))</f>
        <v>187.73865342151541</v>
      </c>
      <c r="Q111" s="2">
        <f t="shared" si="3"/>
        <v>301.42162685713635</v>
      </c>
      <c r="R111" s="2">
        <f t="shared" si="3"/>
        <v>782.61515726829293</v>
      </c>
      <c r="S111" s="2">
        <f t="shared" si="14"/>
        <v>782.61515726829293</v>
      </c>
    </row>
    <row r="112" spans="2:19" x14ac:dyDescent="0.35">
      <c r="B112">
        <v>100</v>
      </c>
      <c r="C112" s="17">
        <v>7</v>
      </c>
      <c r="D112" s="22" t="s">
        <v>244</v>
      </c>
      <c r="E112" s="90">
        <f>INDEX('Revised 2019 Lockdown'!H$5:H$257,MATCH(B112,'Revised 2019 Lockdown'!B$5:B$257,0))</f>
        <v>28.459906979550897</v>
      </c>
      <c r="F112" s="7">
        <f>INDEX('Revised 2019 Lockdown'!E$5:E$257,MATCH(B112,'Revised 2019 Lockdown'!B$5:B$257,0))</f>
        <v>31057.59</v>
      </c>
      <c r="G112" s="7">
        <f>INDEX('Revised 2019 Lockdown'!F$5:F$257,MATCH(B112,'Revised 2019 Lockdown'!B$5:B$257,0))</f>
        <v>0</v>
      </c>
      <c r="H112" s="7">
        <f t="shared" si="11"/>
        <v>31057.59</v>
      </c>
      <c r="I112" s="6">
        <f t="shared" si="8"/>
        <v>1091.2751760684109</v>
      </c>
      <c r="J112" s="6">
        <f t="shared" si="12"/>
        <v>782.61515726829293</v>
      </c>
      <c r="K112" s="5">
        <f t="shared" si="9"/>
        <v>22273.154576642213</v>
      </c>
      <c r="L112" s="4">
        <f t="shared" si="10"/>
        <v>0</v>
      </c>
      <c r="M112" s="2" cm="1">
        <f t="array" ref="M112">SUMPRODUCT(--($L$6:$L$300&lt;&gt;1),--($C$6:$C$300=$C112),$H$6:$H$300)/SUMPRODUCT(--($L$6:$L$300&lt;&gt;1),--($C$6:$C$300=$C112),$E$6:$E$300)</f>
        <v>542.01839206271461</v>
      </c>
      <c r="N112" s="1" cm="1">
        <f t="array" ref="N112">SUMPRODUCT(--($L$6:$L$300&lt;&gt;1),--($C$6:$C$300=$C112))</f>
        <v>69</v>
      </c>
      <c r="O112" s="3">
        <f t="shared" si="13"/>
        <v>301683.01477628015</v>
      </c>
      <c r="P112" s="2" cm="1">
        <f t="array" ref="P112">SQRT(SUMPRODUCT(--($L$6:$L$300&lt;&gt;1),--($C$6:$C$300=$C112),$E$6:$E$300,$O$6:$O$300)/((N112-1)*SUMPRODUCT(--($L$6:$L$300&lt;&gt;1),--($C$6:$C$300=$C112),$E$6:$E$300)/N112))</f>
        <v>187.73865342151541</v>
      </c>
      <c r="Q112" s="2">
        <f t="shared" si="3"/>
        <v>301.42162685713635</v>
      </c>
      <c r="R112" s="2">
        <f t="shared" si="3"/>
        <v>782.61515726829293</v>
      </c>
      <c r="S112" s="2">
        <f t="shared" si="14"/>
        <v>782.61515726829293</v>
      </c>
    </row>
    <row r="113" spans="2:19" x14ac:dyDescent="0.35">
      <c r="B113">
        <v>128</v>
      </c>
      <c r="C113" s="17">
        <v>7</v>
      </c>
      <c r="D113" s="22" t="s">
        <v>131</v>
      </c>
      <c r="E113" s="90">
        <f>INDEX('Revised 2019 Lockdown'!H$5:H$257,MATCH(B113,'Revised 2019 Lockdown'!B$5:B$257,0))</f>
        <v>124.30075709261769</v>
      </c>
      <c r="F113" s="7">
        <f>INDEX('Revised 2019 Lockdown'!E$5:E$257,MATCH(B113,'Revised 2019 Lockdown'!B$5:B$257,0))</f>
        <v>94207.63</v>
      </c>
      <c r="G113" s="7">
        <f>INDEX('Revised 2019 Lockdown'!F$5:F$257,MATCH(B113,'Revised 2019 Lockdown'!B$5:B$257,0))</f>
        <v>265.42</v>
      </c>
      <c r="H113" s="7">
        <f t="shared" si="11"/>
        <v>93942.21</v>
      </c>
      <c r="I113" s="6">
        <f t="shared" si="8"/>
        <v>755.76538870155684</v>
      </c>
      <c r="J113" s="6">
        <f t="shared" si="12"/>
        <v>755.76538870155684</v>
      </c>
      <c r="K113" s="5">
        <f t="shared" si="9"/>
        <v>93942.21</v>
      </c>
      <c r="L113" s="4">
        <f t="shared" si="10"/>
        <v>0</v>
      </c>
      <c r="M113" s="2" cm="1">
        <f t="array" ref="M113">SUMPRODUCT(--($L$6:$L$300&lt;&gt;1),--($C$6:$C$300=$C113),$H$6:$H$300)/SUMPRODUCT(--($L$6:$L$300&lt;&gt;1),--($C$6:$C$300=$C113),$E$6:$E$300)</f>
        <v>542.01839206271461</v>
      </c>
      <c r="N113" s="1" cm="1">
        <f t="array" ref="N113">SUMPRODUCT(--($L$6:$L$300&lt;&gt;1),--($C$6:$C$300=$C113))</f>
        <v>69</v>
      </c>
      <c r="O113" s="3">
        <f t="shared" si="13"/>
        <v>45687.778572125237</v>
      </c>
      <c r="P113" s="2" cm="1">
        <f t="array" ref="P113">SQRT(SUMPRODUCT(--($L$6:$L$300&lt;&gt;1),--($C$6:$C$300=$C113),$E$6:$E$300,$O$6:$O$300)/((N113-1)*SUMPRODUCT(--($L$6:$L$300&lt;&gt;1),--($C$6:$C$300=$C113),$E$6:$E$300)/N113))</f>
        <v>187.73865342151541</v>
      </c>
      <c r="Q113" s="2">
        <f t="shared" si="3"/>
        <v>301.42162685713635</v>
      </c>
      <c r="R113" s="2">
        <f t="shared" si="3"/>
        <v>782.61515726829293</v>
      </c>
      <c r="S113" s="2">
        <f t="shared" si="14"/>
        <v>755.76538870155684</v>
      </c>
    </row>
    <row r="114" spans="2:19" x14ac:dyDescent="0.35">
      <c r="B114">
        <v>152</v>
      </c>
      <c r="C114" s="17">
        <v>7</v>
      </c>
      <c r="D114" s="22" t="s">
        <v>132</v>
      </c>
      <c r="E114" s="90">
        <f>INDEX('Revised 2019 Lockdown'!H$5:H$257,MATCH(B114,'Revised 2019 Lockdown'!B$5:B$257,0))</f>
        <v>416.02</v>
      </c>
      <c r="F114" s="7">
        <f>INDEX('Revised 2019 Lockdown'!E$5:E$257,MATCH(B114,'Revised 2019 Lockdown'!B$5:B$257,0))</f>
        <v>201392.59</v>
      </c>
      <c r="G114" s="7">
        <f>INDEX('Revised 2019 Lockdown'!F$5:F$257,MATCH(B114,'Revised 2019 Lockdown'!B$5:B$257,0))</f>
        <v>0</v>
      </c>
      <c r="H114" s="7">
        <f t="shared" si="11"/>
        <v>201392.59</v>
      </c>
      <c r="I114" s="6">
        <f t="shared" si="8"/>
        <v>484.09352915725208</v>
      </c>
      <c r="J114" s="6">
        <f t="shared" si="12"/>
        <v>484.09352915725208</v>
      </c>
      <c r="K114" s="5">
        <f t="shared" si="9"/>
        <v>201392.59</v>
      </c>
      <c r="L114" s="4">
        <f t="shared" si="10"/>
        <v>0</v>
      </c>
      <c r="M114" s="2" cm="1">
        <f t="array" ref="M114">SUMPRODUCT(--($L$6:$L$300&lt;&gt;1),--($C$6:$C$300=$C114),$H$6:$H$300)/SUMPRODUCT(--($L$6:$L$300&lt;&gt;1),--($C$6:$C$300=$C114),$E$6:$E$300)</f>
        <v>542.01839206271461</v>
      </c>
      <c r="N114" s="1" cm="1">
        <f t="array" ref="N114">SUMPRODUCT(--($L$6:$L$300&lt;&gt;1),--($C$6:$C$300=$C114))</f>
        <v>69</v>
      </c>
      <c r="O114" s="3">
        <f t="shared" si="13"/>
        <v>3355.2897426166292</v>
      </c>
      <c r="P114" s="2" cm="1">
        <f t="array" ref="P114">SQRT(SUMPRODUCT(--($L$6:$L$300&lt;&gt;1),--($C$6:$C$300=$C114),$E$6:$E$300,$O$6:$O$300)/((N114-1)*SUMPRODUCT(--($L$6:$L$300&lt;&gt;1),--($C$6:$C$300=$C114),$E$6:$E$300)/N114))</f>
        <v>187.73865342151541</v>
      </c>
      <c r="Q114" s="2">
        <f t="shared" si="3"/>
        <v>301.42162685713635</v>
      </c>
      <c r="R114" s="2">
        <f>NORMINV(R$4,$M114,$P114)</f>
        <v>782.61515726829293</v>
      </c>
      <c r="S114" s="2">
        <f t="shared" si="14"/>
        <v>484.09352915725208</v>
      </c>
    </row>
    <row r="115" spans="2:19" x14ac:dyDescent="0.35">
      <c r="B115">
        <v>162</v>
      </c>
      <c r="C115" s="17">
        <v>7</v>
      </c>
      <c r="D115" s="22" t="s">
        <v>133</v>
      </c>
      <c r="E115" s="90">
        <f>INDEX('Revised 2019 Lockdown'!H$5:H$257,MATCH(B115,'Revised 2019 Lockdown'!B$5:B$257,0))</f>
        <v>817.57999999999993</v>
      </c>
      <c r="F115" s="7">
        <f>INDEX('Revised 2019 Lockdown'!E$5:E$257,MATCH(B115,'Revised 2019 Lockdown'!B$5:B$257,0))</f>
        <v>406976.46</v>
      </c>
      <c r="G115" s="7">
        <f>INDEX('Revised 2019 Lockdown'!F$5:F$257,MATCH(B115,'Revised 2019 Lockdown'!B$5:B$257,0))</f>
        <v>20849.919999999998</v>
      </c>
      <c r="H115" s="7">
        <f t="shared" si="11"/>
        <v>386126.54000000004</v>
      </c>
      <c r="I115" s="6">
        <f t="shared" si="8"/>
        <v>472.27982582744204</v>
      </c>
      <c r="J115" s="6">
        <f t="shared" si="12"/>
        <v>472.27982582744204</v>
      </c>
      <c r="K115" s="5">
        <f t="shared" si="9"/>
        <v>386126.54000000004</v>
      </c>
      <c r="L115" s="4">
        <f t="shared" si="10"/>
        <v>0</v>
      </c>
      <c r="M115" s="2" cm="1">
        <f t="array" ref="M115">SUMPRODUCT(--($L$6:$L$300&lt;&gt;1),--($C$6:$C$300=$C115),$H$6:$H$300)/SUMPRODUCT(--($L$6:$L$300&lt;&gt;1),--($C$6:$C$300=$C115),$E$6:$E$300)</f>
        <v>542.01839206271461</v>
      </c>
      <c r="N115" s="1" cm="1">
        <f t="array" ref="N115">SUMPRODUCT(--($L$6:$L$300&lt;&gt;1),--($C$6:$C$300=$C115))</f>
        <v>69</v>
      </c>
      <c r="O115" s="3">
        <f t="shared" si="13"/>
        <v>4863.4676205514997</v>
      </c>
      <c r="P115" s="2" cm="1">
        <f t="array" ref="P115">SQRT(SUMPRODUCT(--($L$6:$L$300&lt;&gt;1),--($C$6:$C$300=$C115),$E$6:$E$300,$O$6:$O$300)/((N115-1)*SUMPRODUCT(--($L$6:$L$300&lt;&gt;1),--($C$6:$C$300=$C115),$E$6:$E$300)/N115))</f>
        <v>187.73865342151541</v>
      </c>
      <c r="Q115" s="2">
        <f t="shared" ref="Q115:R178" si="15">NORMINV(Q$4,$M115,$P115)</f>
        <v>301.42162685713635</v>
      </c>
      <c r="R115" s="2">
        <f t="shared" si="15"/>
        <v>782.61515726829293</v>
      </c>
      <c r="S115" s="2">
        <f t="shared" si="14"/>
        <v>472.27982582744204</v>
      </c>
    </row>
    <row r="116" spans="2:19" x14ac:dyDescent="0.35">
      <c r="B116">
        <v>166</v>
      </c>
      <c r="C116" s="17">
        <v>7</v>
      </c>
      <c r="D116" s="22" t="s">
        <v>134</v>
      </c>
      <c r="E116" s="90">
        <f>INDEX('Revised 2019 Lockdown'!H$5:H$257,MATCH(B116,'Revised 2019 Lockdown'!B$5:B$257,0))</f>
        <v>812.39060000000006</v>
      </c>
      <c r="F116" s="7">
        <f>INDEX('Revised 2019 Lockdown'!E$5:E$257,MATCH(B116,'Revised 2019 Lockdown'!B$5:B$257,0))</f>
        <v>468737.5</v>
      </c>
      <c r="G116" s="7">
        <f>INDEX('Revised 2019 Lockdown'!F$5:F$257,MATCH(B116,'Revised 2019 Lockdown'!B$5:B$257,0))</f>
        <v>69372.91</v>
      </c>
      <c r="H116" s="7">
        <f t="shared" si="11"/>
        <v>399364.58999999997</v>
      </c>
      <c r="I116" s="6">
        <f t="shared" si="8"/>
        <v>491.59184018131174</v>
      </c>
      <c r="J116" s="6">
        <f t="shared" si="12"/>
        <v>491.59184018131174</v>
      </c>
      <c r="K116" s="5">
        <f t="shared" si="9"/>
        <v>399364.58999999997</v>
      </c>
      <c r="L116" s="4">
        <f t="shared" si="10"/>
        <v>0</v>
      </c>
      <c r="M116" s="2" cm="1">
        <f t="array" ref="M116">SUMPRODUCT(--($L$6:$L$300&lt;&gt;1),--($C$6:$C$300=$C116),$H$6:$H$300)/SUMPRODUCT(--($L$6:$L$300&lt;&gt;1),--($C$6:$C$300=$C116),$E$6:$E$300)</f>
        <v>542.01839206271461</v>
      </c>
      <c r="N116" s="1" cm="1">
        <f t="array" ref="N116">SUMPRODUCT(--($L$6:$L$300&lt;&gt;1),--($C$6:$C$300=$C116))</f>
        <v>69</v>
      </c>
      <c r="O116" s="3">
        <f t="shared" si="13"/>
        <v>2542.8371346478157</v>
      </c>
      <c r="P116" s="2" cm="1">
        <f t="array" ref="P116">SQRT(SUMPRODUCT(--($L$6:$L$300&lt;&gt;1),--($C$6:$C$300=$C116),$E$6:$E$300,$O$6:$O$300)/((N116-1)*SUMPRODUCT(--($L$6:$L$300&lt;&gt;1),--($C$6:$C$300=$C116),$E$6:$E$300)/N116))</f>
        <v>187.73865342151541</v>
      </c>
      <c r="Q116" s="2">
        <f t="shared" si="15"/>
        <v>301.42162685713635</v>
      </c>
      <c r="R116" s="2">
        <f t="shared" si="15"/>
        <v>782.61515726829293</v>
      </c>
      <c r="S116" s="2">
        <f t="shared" si="14"/>
        <v>491.59184018131174</v>
      </c>
    </row>
    <row r="117" spans="2:19" x14ac:dyDescent="0.35">
      <c r="B117">
        <v>192</v>
      </c>
      <c r="C117" s="17">
        <v>7</v>
      </c>
      <c r="D117" s="22" t="s">
        <v>135</v>
      </c>
      <c r="E117" s="90">
        <f>INDEX('Revised 2019 Lockdown'!H$5:H$257,MATCH(B117,'Revised 2019 Lockdown'!B$5:B$257,0))</f>
        <v>176.93</v>
      </c>
      <c r="F117" s="7">
        <f>INDEX('Revised 2019 Lockdown'!E$5:E$257,MATCH(B117,'Revised 2019 Lockdown'!B$5:B$257,0))</f>
        <v>131883.44</v>
      </c>
      <c r="G117" s="7">
        <f>INDEX('Revised 2019 Lockdown'!F$5:F$257,MATCH(B117,'Revised 2019 Lockdown'!B$5:B$257,0))</f>
        <v>15209.029999999999</v>
      </c>
      <c r="H117" s="7">
        <f t="shared" si="11"/>
        <v>116674.41</v>
      </c>
      <c r="I117" s="6">
        <f t="shared" si="8"/>
        <v>659.43825241620982</v>
      </c>
      <c r="J117" s="6">
        <f t="shared" si="12"/>
        <v>659.43825241620982</v>
      </c>
      <c r="K117" s="5">
        <f t="shared" si="9"/>
        <v>116674.41</v>
      </c>
      <c r="L117" s="4">
        <f t="shared" si="10"/>
        <v>0</v>
      </c>
      <c r="M117" s="2" cm="1">
        <f t="array" ref="M117">SUMPRODUCT(--($L$6:$L$300&lt;&gt;1),--($C$6:$C$300=$C117),$H$6:$H$300)/SUMPRODUCT(--($L$6:$L$300&lt;&gt;1),--($C$6:$C$300=$C117),$E$6:$E$300)</f>
        <v>542.01839206271461</v>
      </c>
      <c r="N117" s="1" cm="1">
        <f t="array" ref="N117">SUMPRODUCT(--($L$6:$L$300&lt;&gt;1),--($C$6:$C$300=$C117))</f>
        <v>69</v>
      </c>
      <c r="O117" s="3">
        <f t="shared" si="13"/>
        <v>13787.423605434316</v>
      </c>
      <c r="P117" s="2" cm="1">
        <f t="array" ref="P117">SQRT(SUMPRODUCT(--($L$6:$L$300&lt;&gt;1),--($C$6:$C$300=$C117),$E$6:$E$300,$O$6:$O$300)/((N117-1)*SUMPRODUCT(--($L$6:$L$300&lt;&gt;1),--($C$6:$C$300=$C117),$E$6:$E$300)/N117))</f>
        <v>187.73865342151541</v>
      </c>
      <c r="Q117" s="2">
        <f t="shared" si="15"/>
        <v>301.42162685713635</v>
      </c>
      <c r="R117" s="2">
        <f t="shared" si="15"/>
        <v>782.61515726829293</v>
      </c>
      <c r="S117" s="2">
        <f t="shared" si="14"/>
        <v>659.43825241620982</v>
      </c>
    </row>
    <row r="118" spans="2:19" x14ac:dyDescent="0.35">
      <c r="B118">
        <v>205</v>
      </c>
      <c r="C118" s="17">
        <v>7</v>
      </c>
      <c r="D118" s="22" t="s">
        <v>136</v>
      </c>
      <c r="E118" s="90">
        <f>INDEX('Revised 2019 Lockdown'!H$5:H$257,MATCH(B118,'Revised 2019 Lockdown'!B$5:B$257,0))</f>
        <v>569.83868095153036</v>
      </c>
      <c r="F118" s="7">
        <f>INDEX('Revised 2019 Lockdown'!E$5:E$257,MATCH(B118,'Revised 2019 Lockdown'!B$5:B$257,0))</f>
        <v>404989.35</v>
      </c>
      <c r="G118" s="7">
        <f>INDEX('Revised 2019 Lockdown'!F$5:F$257,MATCH(B118,'Revised 2019 Lockdown'!B$5:B$257,0))</f>
        <v>12086.56</v>
      </c>
      <c r="H118" s="7">
        <f t="shared" si="11"/>
        <v>392902.79</v>
      </c>
      <c r="I118" s="6">
        <f t="shared" si="8"/>
        <v>689.49827930936772</v>
      </c>
      <c r="J118" s="6">
        <f t="shared" si="12"/>
        <v>689.49827930936772</v>
      </c>
      <c r="K118" s="5">
        <f t="shared" si="9"/>
        <v>392902.79</v>
      </c>
      <c r="L118" s="4">
        <f t="shared" si="10"/>
        <v>0</v>
      </c>
      <c r="M118" s="2" cm="1">
        <f t="array" ref="M118">SUMPRODUCT(--($L$6:$L$300&lt;&gt;1),--($C$6:$C$300=$C118),$H$6:$H$300)/SUMPRODUCT(--($L$6:$L$300&lt;&gt;1),--($C$6:$C$300=$C118),$E$6:$E$300)</f>
        <v>542.01839206271461</v>
      </c>
      <c r="N118" s="1" cm="1">
        <f t="array" ref="N118">SUMPRODUCT(--($L$6:$L$300&lt;&gt;1),--($C$6:$C$300=$C118))</f>
        <v>69</v>
      </c>
      <c r="O118" s="3">
        <f t="shared" si="13"/>
        <v>21750.317142285512</v>
      </c>
      <c r="P118" s="2" cm="1">
        <f t="array" ref="P118">SQRT(SUMPRODUCT(--($L$6:$L$300&lt;&gt;1),--($C$6:$C$300=$C118),$E$6:$E$300,$O$6:$O$300)/((N118-1)*SUMPRODUCT(--($L$6:$L$300&lt;&gt;1),--($C$6:$C$300=$C118),$E$6:$E$300)/N118))</f>
        <v>187.73865342151541</v>
      </c>
      <c r="Q118" s="2">
        <f t="shared" si="15"/>
        <v>301.42162685713635</v>
      </c>
      <c r="R118" s="2">
        <f t="shared" si="15"/>
        <v>782.61515726829293</v>
      </c>
      <c r="S118" s="2">
        <f t="shared" si="14"/>
        <v>689.49827930936772</v>
      </c>
    </row>
    <row r="119" spans="2:19" x14ac:dyDescent="0.35">
      <c r="B119">
        <v>212</v>
      </c>
      <c r="C119" s="17">
        <v>7</v>
      </c>
      <c r="D119" s="22" t="s">
        <v>137</v>
      </c>
      <c r="E119" s="90">
        <f>INDEX('Revised 2019 Lockdown'!H$5:H$257,MATCH(B119,'Revised 2019 Lockdown'!B$5:B$257,0))</f>
        <v>406.1665486930608</v>
      </c>
      <c r="F119" s="7">
        <f>INDEX('Revised 2019 Lockdown'!E$5:E$257,MATCH(B119,'Revised 2019 Lockdown'!B$5:B$257,0))</f>
        <v>252953.60000000001</v>
      </c>
      <c r="G119" s="7">
        <f>INDEX('Revised 2019 Lockdown'!F$5:F$257,MATCH(B119,'Revised 2019 Lockdown'!B$5:B$257,0))</f>
        <v>851</v>
      </c>
      <c r="H119" s="7">
        <f t="shared" si="11"/>
        <v>252102.6</v>
      </c>
      <c r="I119" s="6">
        <f t="shared" si="8"/>
        <v>620.68774696291746</v>
      </c>
      <c r="J119" s="6">
        <f t="shared" si="12"/>
        <v>620.68774696291746</v>
      </c>
      <c r="K119" s="5">
        <f t="shared" si="9"/>
        <v>252102.6</v>
      </c>
      <c r="L119" s="4">
        <f t="shared" si="10"/>
        <v>0</v>
      </c>
      <c r="M119" s="2" cm="1">
        <f t="array" ref="M119">SUMPRODUCT(--($L$6:$L$300&lt;&gt;1),--($C$6:$C$300=$C119),$H$6:$H$300)/SUMPRODUCT(--($L$6:$L$300&lt;&gt;1),--($C$6:$C$300=$C119),$E$6:$E$300)</f>
        <v>542.01839206271461</v>
      </c>
      <c r="N119" s="1" cm="1">
        <f t="array" ref="N119">SUMPRODUCT(--($L$6:$L$300&lt;&gt;1),--($C$6:$C$300=$C119))</f>
        <v>69</v>
      </c>
      <c r="O119" s="3">
        <f t="shared" si="13"/>
        <v>6188.8674004140694</v>
      </c>
      <c r="P119" s="2" cm="1">
        <f t="array" ref="P119">SQRT(SUMPRODUCT(--($L$6:$L$300&lt;&gt;1),--($C$6:$C$300=$C119),$E$6:$E$300,$O$6:$O$300)/((N119-1)*SUMPRODUCT(--($L$6:$L$300&lt;&gt;1),--($C$6:$C$300=$C119),$E$6:$E$300)/N119))</f>
        <v>187.73865342151541</v>
      </c>
      <c r="Q119" s="2">
        <f t="shared" si="15"/>
        <v>301.42162685713635</v>
      </c>
      <c r="R119" s="2">
        <f t="shared" si="15"/>
        <v>782.61515726829293</v>
      </c>
      <c r="S119" s="2">
        <f t="shared" si="14"/>
        <v>620.68774696291746</v>
      </c>
    </row>
    <row r="120" spans="2:19" x14ac:dyDescent="0.35">
      <c r="B120">
        <v>216</v>
      </c>
      <c r="C120" s="17">
        <v>7</v>
      </c>
      <c r="D120" s="22" t="s">
        <v>138</v>
      </c>
      <c r="E120" s="90">
        <f>INDEX('Revised 2019 Lockdown'!H$5:H$257,MATCH(B120,'Revised 2019 Lockdown'!B$5:B$257,0))</f>
        <v>734.36593752530666</v>
      </c>
      <c r="F120" s="7">
        <f>INDEX('Revised 2019 Lockdown'!E$5:E$257,MATCH(B120,'Revised 2019 Lockdown'!B$5:B$257,0))</f>
        <v>322813.15000000002</v>
      </c>
      <c r="G120" s="7">
        <f>INDEX('Revised 2019 Lockdown'!F$5:F$257,MATCH(B120,'Revised 2019 Lockdown'!B$5:B$257,0))</f>
        <v>665</v>
      </c>
      <c r="H120" s="7">
        <f t="shared" si="11"/>
        <v>322148.15000000002</v>
      </c>
      <c r="I120" s="6">
        <f t="shared" si="8"/>
        <v>438.6752347005455</v>
      </c>
      <c r="J120" s="6">
        <f t="shared" si="12"/>
        <v>438.6752347005455</v>
      </c>
      <c r="K120" s="5">
        <f t="shared" si="9"/>
        <v>322148.15000000002</v>
      </c>
      <c r="L120" s="4">
        <f t="shared" si="10"/>
        <v>0</v>
      </c>
      <c r="M120" s="2" cm="1">
        <f t="array" ref="M120">SUMPRODUCT(--($L$6:$L$300&lt;&gt;1),--($C$6:$C$300=$C120),$H$6:$H$300)/SUMPRODUCT(--($L$6:$L$300&lt;&gt;1),--($C$6:$C$300=$C120),$E$6:$E$300)</f>
        <v>542.01839206271461</v>
      </c>
      <c r="N120" s="1" cm="1">
        <f t="array" ref="N120">SUMPRODUCT(--($L$6:$L$300&lt;&gt;1),--($C$6:$C$300=$C120))</f>
        <v>69</v>
      </c>
      <c r="O120" s="3">
        <f t="shared" si="13"/>
        <v>10679.808173582047</v>
      </c>
      <c r="P120" s="2" cm="1">
        <f t="array" ref="P120">SQRT(SUMPRODUCT(--($L$6:$L$300&lt;&gt;1),--($C$6:$C$300=$C120),$E$6:$E$300,$O$6:$O$300)/((N120-1)*SUMPRODUCT(--($L$6:$L$300&lt;&gt;1),--($C$6:$C$300=$C120),$E$6:$E$300)/N120))</f>
        <v>187.73865342151541</v>
      </c>
      <c r="Q120" s="2">
        <f t="shared" si="15"/>
        <v>301.42162685713635</v>
      </c>
      <c r="R120" s="2">
        <f t="shared" si="15"/>
        <v>782.61515726829293</v>
      </c>
      <c r="S120" s="2">
        <f t="shared" si="14"/>
        <v>438.6752347005455</v>
      </c>
    </row>
    <row r="121" spans="2:19" x14ac:dyDescent="0.35">
      <c r="B121">
        <v>218</v>
      </c>
      <c r="C121" s="17">
        <v>7</v>
      </c>
      <c r="D121" s="22" t="s">
        <v>248</v>
      </c>
      <c r="E121" s="90">
        <f>INDEX('Revised 2019 Lockdown'!H$5:H$257,MATCH(B121,'Revised 2019 Lockdown'!B$5:B$257,0))</f>
        <v>234.26633373228532</v>
      </c>
      <c r="F121" s="7">
        <f>INDEX('Revised 2019 Lockdown'!E$5:E$257,MATCH(B121,'Revised 2019 Lockdown'!B$5:B$257,0))</f>
        <v>202407.39</v>
      </c>
      <c r="G121" s="7">
        <f>INDEX('Revised 2019 Lockdown'!F$5:F$257,MATCH(B121,'Revised 2019 Lockdown'!B$5:B$257,0))</f>
        <v>240</v>
      </c>
      <c r="H121" s="7">
        <f t="shared" si="11"/>
        <v>202167.39</v>
      </c>
      <c r="I121" s="6">
        <f t="shared" si="8"/>
        <v>862.98097886755124</v>
      </c>
      <c r="J121" s="6">
        <f t="shared" si="12"/>
        <v>782.61515726829293</v>
      </c>
      <c r="K121" s="5">
        <f t="shared" si="9"/>
        <v>183340.38361655886</v>
      </c>
      <c r="L121" s="4">
        <f t="shared" si="10"/>
        <v>0</v>
      </c>
      <c r="M121" s="2" cm="1">
        <f t="array" ref="M121">SUMPRODUCT(--($L$6:$L$300&lt;&gt;1),--($C$6:$C$300=$C121),$H$6:$H$300)/SUMPRODUCT(--($L$6:$L$300&lt;&gt;1),--($C$6:$C$300=$C121),$E$6:$E$300)</f>
        <v>542.01839206271461</v>
      </c>
      <c r="N121" s="1" cm="1">
        <f t="array" ref="N121">SUMPRODUCT(--($L$6:$L$300&lt;&gt;1),--($C$6:$C$300=$C121))</f>
        <v>69</v>
      </c>
      <c r="O121" s="3">
        <f t="shared" si="13"/>
        <v>103016.98212845229</v>
      </c>
      <c r="P121" s="2" cm="1">
        <f t="array" ref="P121">SQRT(SUMPRODUCT(--($L$6:$L$300&lt;&gt;1),--($C$6:$C$300=$C121),$E$6:$E$300,$O$6:$O$300)/((N121-1)*SUMPRODUCT(--($L$6:$L$300&lt;&gt;1),--($C$6:$C$300=$C121),$E$6:$E$300)/N121))</f>
        <v>187.73865342151541</v>
      </c>
      <c r="Q121" s="2">
        <f t="shared" si="15"/>
        <v>301.42162685713635</v>
      </c>
      <c r="R121" s="2">
        <f t="shared" si="15"/>
        <v>782.61515726829293</v>
      </c>
      <c r="S121" s="2">
        <f t="shared" si="14"/>
        <v>782.61515726829293</v>
      </c>
    </row>
    <row r="122" spans="2:19" x14ac:dyDescent="0.35">
      <c r="B122">
        <v>229</v>
      </c>
      <c r="C122" s="17">
        <v>7</v>
      </c>
      <c r="D122" s="22" t="s">
        <v>139</v>
      </c>
      <c r="E122" s="90">
        <f>INDEX('Revised 2019 Lockdown'!H$5:H$257,MATCH(B122,'Revised 2019 Lockdown'!B$5:B$257,0))</f>
        <v>828.46</v>
      </c>
      <c r="F122" s="7">
        <f>INDEX('Revised 2019 Lockdown'!E$5:E$257,MATCH(B122,'Revised 2019 Lockdown'!B$5:B$257,0))</f>
        <v>520124.41</v>
      </c>
      <c r="G122" s="7">
        <f>INDEX('Revised 2019 Lockdown'!F$5:F$257,MATCH(B122,'Revised 2019 Lockdown'!B$5:B$257,0))</f>
        <v>81188.479999999996</v>
      </c>
      <c r="H122" s="7">
        <f t="shared" si="11"/>
        <v>438935.93</v>
      </c>
      <c r="I122" s="6">
        <f t="shared" si="8"/>
        <v>529.82151220336527</v>
      </c>
      <c r="J122" s="6">
        <f t="shared" si="12"/>
        <v>529.82151220336527</v>
      </c>
      <c r="K122" s="5">
        <f t="shared" si="9"/>
        <v>438935.93</v>
      </c>
      <c r="L122" s="4">
        <f t="shared" si="10"/>
        <v>0</v>
      </c>
      <c r="M122" s="2" cm="1">
        <f t="array" ref="M122">SUMPRODUCT(--($L$6:$L$300&lt;&gt;1),--($C$6:$C$300=$C122),$H$6:$H$300)/SUMPRODUCT(--($L$6:$L$300&lt;&gt;1),--($C$6:$C$300=$C122),$E$6:$E$300)</f>
        <v>542.01839206271461</v>
      </c>
      <c r="N122" s="1" cm="1">
        <f t="array" ref="N122">SUMPRODUCT(--($L$6:$L$300&lt;&gt;1),--($C$6:$C$300=$C122))</f>
        <v>69</v>
      </c>
      <c r="O122" s="3">
        <f t="shared" si="13"/>
        <v>148.76387830340153</v>
      </c>
      <c r="P122" s="2" cm="1">
        <f t="array" ref="P122">SQRT(SUMPRODUCT(--($L$6:$L$300&lt;&gt;1),--($C$6:$C$300=$C122),$E$6:$E$300,$O$6:$O$300)/((N122-1)*SUMPRODUCT(--($L$6:$L$300&lt;&gt;1),--($C$6:$C$300=$C122),$E$6:$E$300)/N122))</f>
        <v>187.73865342151541</v>
      </c>
      <c r="Q122" s="2">
        <f t="shared" si="15"/>
        <v>301.42162685713635</v>
      </c>
      <c r="R122" s="2">
        <f t="shared" si="15"/>
        <v>782.61515726829293</v>
      </c>
      <c r="S122" s="2">
        <f t="shared" si="14"/>
        <v>529.82151220336527</v>
      </c>
    </row>
    <row r="123" spans="2:19" x14ac:dyDescent="0.35">
      <c r="B123">
        <v>236</v>
      </c>
      <c r="C123" s="17">
        <v>7</v>
      </c>
      <c r="D123" s="22" t="s">
        <v>140</v>
      </c>
      <c r="E123" s="90">
        <f>INDEX('Revised 2019 Lockdown'!H$5:H$257,MATCH(B123,'Revised 2019 Lockdown'!B$5:B$257,0))</f>
        <v>1063.22</v>
      </c>
      <c r="F123" s="7">
        <f>INDEX('Revised 2019 Lockdown'!E$5:E$257,MATCH(B123,'Revised 2019 Lockdown'!B$5:B$257,0))</f>
        <v>641009.56000000006</v>
      </c>
      <c r="G123" s="7">
        <f>INDEX('Revised 2019 Lockdown'!F$5:F$257,MATCH(B123,'Revised 2019 Lockdown'!B$5:B$257,0))</f>
        <v>131330.90000000002</v>
      </c>
      <c r="H123" s="7">
        <f t="shared" si="11"/>
        <v>509678.66000000003</v>
      </c>
      <c r="I123" s="6">
        <f t="shared" si="8"/>
        <v>479.37271684129342</v>
      </c>
      <c r="J123" s="6">
        <f t="shared" si="12"/>
        <v>479.37271684129342</v>
      </c>
      <c r="K123" s="5">
        <f t="shared" si="9"/>
        <v>509678.66000000003</v>
      </c>
      <c r="L123" s="4">
        <f t="shared" si="10"/>
        <v>0</v>
      </c>
      <c r="M123" s="2" cm="1">
        <f t="array" ref="M123">SUMPRODUCT(--($L$6:$L$300&lt;&gt;1),--($C$6:$C$300=$C123),$H$6:$H$300)/SUMPRODUCT(--($L$6:$L$300&lt;&gt;1),--($C$6:$C$300=$C123),$E$6:$E$300)</f>
        <v>542.01839206271461</v>
      </c>
      <c r="N123" s="1" cm="1">
        <f t="array" ref="N123">SUMPRODUCT(--($L$6:$L$300&lt;&gt;1),--($C$6:$C$300=$C123))</f>
        <v>69</v>
      </c>
      <c r="O123" s="3">
        <f t="shared" si="13"/>
        <v>3924.4806239477844</v>
      </c>
      <c r="P123" s="2" cm="1">
        <f t="array" ref="P123">SQRT(SUMPRODUCT(--($L$6:$L$300&lt;&gt;1),--($C$6:$C$300=$C123),$E$6:$E$300,$O$6:$O$300)/((N123-1)*SUMPRODUCT(--($L$6:$L$300&lt;&gt;1),--($C$6:$C$300=$C123),$E$6:$E$300)/N123))</f>
        <v>187.73865342151541</v>
      </c>
      <c r="Q123" s="2">
        <f t="shared" si="15"/>
        <v>301.42162685713635</v>
      </c>
      <c r="R123" s="2">
        <f t="shared" si="15"/>
        <v>782.61515726829293</v>
      </c>
      <c r="S123" s="2">
        <f t="shared" si="14"/>
        <v>479.37271684129342</v>
      </c>
    </row>
    <row r="124" spans="2:19" x14ac:dyDescent="0.35">
      <c r="B124">
        <v>238</v>
      </c>
      <c r="C124" s="17">
        <v>7</v>
      </c>
      <c r="D124" s="22" t="s">
        <v>141</v>
      </c>
      <c r="E124" s="90">
        <f>INDEX('Revised 2019 Lockdown'!H$5:H$257,MATCH(B124,'Revised 2019 Lockdown'!B$5:B$257,0))</f>
        <v>59.944851964987492</v>
      </c>
      <c r="F124" s="7">
        <f>INDEX('Revised 2019 Lockdown'!E$5:E$257,MATCH(B124,'Revised 2019 Lockdown'!B$5:B$257,0))</f>
        <v>35866.36</v>
      </c>
      <c r="G124" s="7">
        <f>INDEX('Revised 2019 Lockdown'!F$5:F$257,MATCH(B124,'Revised 2019 Lockdown'!B$5:B$257,0))</f>
        <v>24</v>
      </c>
      <c r="H124" s="7">
        <f t="shared" si="11"/>
        <v>35842.36</v>
      </c>
      <c r="I124" s="6">
        <f t="shared" si="8"/>
        <v>597.92223727459964</v>
      </c>
      <c r="J124" s="6">
        <f t="shared" si="12"/>
        <v>597.92223727459964</v>
      </c>
      <c r="K124" s="5">
        <f t="shared" si="9"/>
        <v>35842.36</v>
      </c>
      <c r="L124" s="4">
        <f t="shared" si="10"/>
        <v>0</v>
      </c>
      <c r="M124" s="2" cm="1">
        <f t="array" ref="M124">SUMPRODUCT(--($L$6:$L$300&lt;&gt;1),--($C$6:$C$300=$C124),$H$6:$H$300)/SUMPRODUCT(--($L$6:$L$300&lt;&gt;1),--($C$6:$C$300=$C124),$E$6:$E$300)</f>
        <v>542.01839206271461</v>
      </c>
      <c r="N124" s="1" cm="1">
        <f t="array" ref="N124">SUMPRODUCT(--($L$6:$L$300&lt;&gt;1),--($C$6:$C$300=$C124))</f>
        <v>69</v>
      </c>
      <c r="O124" s="3">
        <f t="shared" si="13"/>
        <v>3125.2399094744005</v>
      </c>
      <c r="P124" s="2" cm="1">
        <f t="array" ref="P124">SQRT(SUMPRODUCT(--($L$6:$L$300&lt;&gt;1),--($C$6:$C$300=$C124),$E$6:$E$300,$O$6:$O$300)/((N124-1)*SUMPRODUCT(--($L$6:$L$300&lt;&gt;1),--($C$6:$C$300=$C124),$E$6:$E$300)/N124))</f>
        <v>187.73865342151541</v>
      </c>
      <c r="Q124" s="2">
        <f t="shared" si="15"/>
        <v>301.42162685713635</v>
      </c>
      <c r="R124" s="2">
        <f t="shared" si="15"/>
        <v>782.61515726829293</v>
      </c>
      <c r="S124" s="2">
        <f t="shared" si="14"/>
        <v>597.92223727459964</v>
      </c>
    </row>
    <row r="125" spans="2:19" x14ac:dyDescent="0.35">
      <c r="B125">
        <v>239</v>
      </c>
      <c r="C125" s="17">
        <v>7</v>
      </c>
      <c r="D125" s="22" t="s">
        <v>142</v>
      </c>
      <c r="E125" s="90">
        <f>INDEX('Revised 2019 Lockdown'!H$5:H$257,MATCH(B125,'Revised 2019 Lockdown'!B$5:B$257,0))</f>
        <v>2925.25</v>
      </c>
      <c r="F125" s="7">
        <f>INDEX('Revised 2019 Lockdown'!E$5:E$257,MATCH(B125,'Revised 2019 Lockdown'!B$5:B$257,0))</f>
        <v>1825402.79</v>
      </c>
      <c r="G125" s="7">
        <f>INDEX('Revised 2019 Lockdown'!F$5:F$257,MATCH(B125,'Revised 2019 Lockdown'!B$5:B$257,0))</f>
        <v>204609.35</v>
      </c>
      <c r="H125" s="7">
        <f t="shared" si="11"/>
        <v>1620793.44</v>
      </c>
      <c r="I125" s="6">
        <f t="shared" si="8"/>
        <v>554.07005896931889</v>
      </c>
      <c r="J125" s="6">
        <f t="shared" si="12"/>
        <v>554.07005896931889</v>
      </c>
      <c r="K125" s="5">
        <f t="shared" si="9"/>
        <v>1620793.4400000002</v>
      </c>
      <c r="L125" s="4">
        <f t="shared" si="10"/>
        <v>0</v>
      </c>
      <c r="M125" s="2" cm="1">
        <f t="array" ref="M125">SUMPRODUCT(--($L$6:$L$300&lt;&gt;1),--($C$6:$C$300=$C125),$H$6:$H$300)/SUMPRODUCT(--($L$6:$L$300&lt;&gt;1),--($C$6:$C$300=$C125),$E$6:$E$300)</f>
        <v>542.01839206271461</v>
      </c>
      <c r="N125" s="1" cm="1">
        <f t="array" ref="N125">SUMPRODUCT(--($L$6:$L$300&lt;&gt;1),--($C$6:$C$300=$C125))</f>
        <v>69</v>
      </c>
      <c r="O125" s="3">
        <f t="shared" si="13"/>
        <v>145.24267522774082</v>
      </c>
      <c r="P125" s="2" cm="1">
        <f t="array" ref="P125">SQRT(SUMPRODUCT(--($L$6:$L$300&lt;&gt;1),--($C$6:$C$300=$C125),$E$6:$E$300,$O$6:$O$300)/((N125-1)*SUMPRODUCT(--($L$6:$L$300&lt;&gt;1),--($C$6:$C$300=$C125),$E$6:$E$300)/N125))</f>
        <v>187.73865342151541</v>
      </c>
      <c r="Q125" s="2">
        <f t="shared" si="15"/>
        <v>301.42162685713635</v>
      </c>
      <c r="R125" s="2">
        <f t="shared" si="15"/>
        <v>782.61515726829293</v>
      </c>
      <c r="S125" s="2">
        <f t="shared" si="14"/>
        <v>554.07005896931889</v>
      </c>
    </row>
    <row r="126" spans="2:19" x14ac:dyDescent="0.35">
      <c r="B126">
        <v>249</v>
      </c>
      <c r="C126" s="17">
        <v>7</v>
      </c>
      <c r="D126" s="22" t="s">
        <v>143</v>
      </c>
      <c r="E126" s="90">
        <f>INDEX('Revised 2019 Lockdown'!H$5:H$257,MATCH(B126,'Revised 2019 Lockdown'!B$5:B$257,0))</f>
        <v>1034.1301694779929</v>
      </c>
      <c r="F126" s="7">
        <f>INDEX('Revised 2019 Lockdown'!E$5:E$257,MATCH(B126,'Revised 2019 Lockdown'!B$5:B$257,0))</f>
        <v>679586.79</v>
      </c>
      <c r="G126" s="7">
        <f>INDEX('Revised 2019 Lockdown'!F$5:F$257,MATCH(B126,'Revised 2019 Lockdown'!B$5:B$257,0))</f>
        <v>0</v>
      </c>
      <c r="H126" s="7">
        <f t="shared" si="11"/>
        <v>679586.79</v>
      </c>
      <c r="I126" s="6">
        <f t="shared" si="8"/>
        <v>657.15788017580132</v>
      </c>
      <c r="J126" s="6">
        <f t="shared" si="12"/>
        <v>657.15788017580132</v>
      </c>
      <c r="K126" s="5">
        <f t="shared" si="9"/>
        <v>679586.79</v>
      </c>
      <c r="L126" s="4">
        <f t="shared" si="10"/>
        <v>0</v>
      </c>
      <c r="M126" s="2" cm="1">
        <f t="array" ref="M126">SUMPRODUCT(--($L$6:$L$300&lt;&gt;1),--($C$6:$C$300=$C126),$H$6:$H$300)/SUMPRODUCT(--($L$6:$L$300&lt;&gt;1),--($C$6:$C$300=$C126),$E$6:$E$300)</f>
        <v>542.01839206271461</v>
      </c>
      <c r="N126" s="1" cm="1">
        <f t="array" ref="N126">SUMPRODUCT(--($L$6:$L$300&lt;&gt;1),--($C$6:$C$300=$C126))</f>
        <v>69</v>
      </c>
      <c r="O126" s="3">
        <f t="shared" si="13"/>
        <v>13257.101722943637</v>
      </c>
      <c r="P126" s="2" cm="1">
        <f t="array" ref="P126">SQRT(SUMPRODUCT(--($L$6:$L$300&lt;&gt;1),--($C$6:$C$300=$C126),$E$6:$E$300,$O$6:$O$300)/((N126-1)*SUMPRODUCT(--($L$6:$L$300&lt;&gt;1),--($C$6:$C$300=$C126),$E$6:$E$300)/N126))</f>
        <v>187.73865342151541</v>
      </c>
      <c r="Q126" s="2">
        <f t="shared" si="15"/>
        <v>301.42162685713635</v>
      </c>
      <c r="R126" s="2">
        <f t="shared" si="15"/>
        <v>782.61515726829293</v>
      </c>
      <c r="S126" s="2">
        <f t="shared" si="14"/>
        <v>657.15788017580132</v>
      </c>
    </row>
    <row r="127" spans="2:19" x14ac:dyDescent="0.35">
      <c r="B127">
        <v>271</v>
      </c>
      <c r="C127" s="17">
        <v>7</v>
      </c>
      <c r="D127" s="22" t="s">
        <v>144</v>
      </c>
      <c r="E127" s="90">
        <f>INDEX('Revised 2019 Lockdown'!H$5:H$257,MATCH(B127,'Revised 2019 Lockdown'!B$5:B$257,0))</f>
        <v>759.30399999999997</v>
      </c>
      <c r="F127" s="7">
        <f>INDEX('Revised 2019 Lockdown'!E$5:E$257,MATCH(B127,'Revised 2019 Lockdown'!B$5:B$257,0))</f>
        <v>726125.85</v>
      </c>
      <c r="G127" s="7">
        <f>INDEX('Revised 2019 Lockdown'!F$5:F$257,MATCH(B127,'Revised 2019 Lockdown'!B$5:B$257,0))</f>
        <v>103587.01000000002</v>
      </c>
      <c r="H127" s="7">
        <f t="shared" si="11"/>
        <v>622538.84</v>
      </c>
      <c r="I127" s="6">
        <f t="shared" si="8"/>
        <v>819.88089092115933</v>
      </c>
      <c r="J127" s="6">
        <f t="shared" si="12"/>
        <v>782.61515726829293</v>
      </c>
      <c r="K127" s="5">
        <f t="shared" si="9"/>
        <v>594242.81937444385</v>
      </c>
      <c r="L127" s="4">
        <f t="shared" si="10"/>
        <v>0</v>
      </c>
      <c r="M127" s="2" cm="1">
        <f t="array" ref="M127">SUMPRODUCT(--($L$6:$L$300&lt;&gt;1),--($C$6:$C$300=$C127),$H$6:$H$300)/SUMPRODUCT(--($L$6:$L$300&lt;&gt;1),--($C$6:$C$300=$C127),$E$6:$E$300)</f>
        <v>542.01839206271461</v>
      </c>
      <c r="N127" s="1" cm="1">
        <f t="array" ref="N127">SUMPRODUCT(--($L$6:$L$300&lt;&gt;1),--($C$6:$C$300=$C127))</f>
        <v>69</v>
      </c>
      <c r="O127" s="3">
        <f t="shared" si="13"/>
        <v>77207.5682718592</v>
      </c>
      <c r="P127" s="2" cm="1">
        <f t="array" ref="P127">SQRT(SUMPRODUCT(--($L$6:$L$300&lt;&gt;1),--($C$6:$C$300=$C127),$E$6:$E$300,$O$6:$O$300)/((N127-1)*SUMPRODUCT(--($L$6:$L$300&lt;&gt;1),--($C$6:$C$300=$C127),$E$6:$E$300)/N127))</f>
        <v>187.73865342151541</v>
      </c>
      <c r="Q127" s="2">
        <f t="shared" si="15"/>
        <v>301.42162685713635</v>
      </c>
      <c r="R127" s="2">
        <f t="shared" si="15"/>
        <v>782.61515726829293</v>
      </c>
      <c r="S127" s="2">
        <f t="shared" si="14"/>
        <v>782.61515726829293</v>
      </c>
    </row>
    <row r="128" spans="2:19" x14ac:dyDescent="0.35">
      <c r="B128">
        <v>275</v>
      </c>
      <c r="C128" s="17">
        <v>7</v>
      </c>
      <c r="D128" s="22" t="s">
        <v>145</v>
      </c>
      <c r="E128" s="90">
        <f>INDEX('Revised 2019 Lockdown'!H$5:H$257,MATCH(B128,'Revised 2019 Lockdown'!B$5:B$257,0))</f>
        <v>689.9799999999999</v>
      </c>
      <c r="F128" s="7">
        <f>INDEX('Revised 2019 Lockdown'!E$5:E$257,MATCH(B128,'Revised 2019 Lockdown'!B$5:B$257,0))</f>
        <v>403137.48</v>
      </c>
      <c r="G128" s="7">
        <f>INDEX('Revised 2019 Lockdown'!F$5:F$257,MATCH(B128,'Revised 2019 Lockdown'!B$5:B$257,0))</f>
        <v>66785.36</v>
      </c>
      <c r="H128" s="7">
        <f t="shared" si="11"/>
        <v>336352.12</v>
      </c>
      <c r="I128" s="6">
        <f t="shared" si="8"/>
        <v>487.48097046291201</v>
      </c>
      <c r="J128" s="6">
        <f t="shared" si="12"/>
        <v>487.48097046291201</v>
      </c>
      <c r="K128" s="5">
        <f t="shared" si="9"/>
        <v>336352.12</v>
      </c>
      <c r="L128" s="4">
        <f t="shared" si="10"/>
        <v>0</v>
      </c>
      <c r="M128" s="2" cm="1">
        <f t="array" ref="M128">SUMPRODUCT(--($L$6:$L$300&lt;&gt;1),--($C$6:$C$300=$C128),$H$6:$H$300)/SUMPRODUCT(--($L$6:$L$300&lt;&gt;1),--($C$6:$C$300=$C128),$E$6:$E$300)</f>
        <v>542.01839206271461</v>
      </c>
      <c r="N128" s="1" cm="1">
        <f t="array" ref="N128">SUMPRODUCT(--($L$6:$L$300&lt;&gt;1),--($C$6:$C$300=$C128))</f>
        <v>69</v>
      </c>
      <c r="O128" s="3">
        <f t="shared" si="13"/>
        <v>2974.3303547546152</v>
      </c>
      <c r="P128" s="2" cm="1">
        <f t="array" ref="P128">SQRT(SUMPRODUCT(--($L$6:$L$300&lt;&gt;1),--($C$6:$C$300=$C128),$E$6:$E$300,$O$6:$O$300)/((N128-1)*SUMPRODUCT(--($L$6:$L$300&lt;&gt;1),--($C$6:$C$300=$C128),$E$6:$E$300)/N128))</f>
        <v>187.73865342151541</v>
      </c>
      <c r="Q128" s="2">
        <f t="shared" si="15"/>
        <v>301.42162685713635</v>
      </c>
      <c r="R128" s="2">
        <f t="shared" si="15"/>
        <v>782.61515726829293</v>
      </c>
      <c r="S128" s="2">
        <f t="shared" si="14"/>
        <v>487.48097046291201</v>
      </c>
    </row>
    <row r="129" spans="2:19" x14ac:dyDescent="0.35">
      <c r="B129">
        <v>282</v>
      </c>
      <c r="C129" s="17">
        <v>7</v>
      </c>
      <c r="D129" s="22" t="s">
        <v>146</v>
      </c>
      <c r="E129" s="90">
        <f>INDEX('Revised 2019 Lockdown'!H$5:H$257,MATCH(B129,'Revised 2019 Lockdown'!B$5:B$257,0))</f>
        <v>110.63436611728881</v>
      </c>
      <c r="F129" s="7">
        <f>INDEX('Revised 2019 Lockdown'!E$5:E$257,MATCH(B129,'Revised 2019 Lockdown'!B$5:B$257,0))</f>
        <v>58517.06</v>
      </c>
      <c r="G129" s="7">
        <f>INDEX('Revised 2019 Lockdown'!F$5:F$257,MATCH(B129,'Revised 2019 Lockdown'!B$5:B$257,0))</f>
        <v>0</v>
      </c>
      <c r="H129" s="7">
        <f t="shared" si="11"/>
        <v>58517.06</v>
      </c>
      <c r="I129" s="6">
        <f t="shared" si="8"/>
        <v>528.92299249912321</v>
      </c>
      <c r="J129" s="6">
        <f t="shared" si="12"/>
        <v>528.92299249912321</v>
      </c>
      <c r="K129" s="5">
        <f t="shared" si="9"/>
        <v>58517.06</v>
      </c>
      <c r="L129" s="4">
        <f t="shared" si="10"/>
        <v>0</v>
      </c>
      <c r="M129" s="2" cm="1">
        <f t="array" ref="M129">SUMPRODUCT(--($L$6:$L$300&lt;&gt;1),--($C$6:$C$300=$C129),$H$6:$H$300)/SUMPRODUCT(--($L$6:$L$300&lt;&gt;1),--($C$6:$C$300=$C129),$E$6:$E$300)</f>
        <v>542.01839206271461</v>
      </c>
      <c r="N129" s="1" cm="1">
        <f t="array" ref="N129">SUMPRODUCT(--($L$6:$L$300&lt;&gt;1),--($C$6:$C$300=$C129))</f>
        <v>69</v>
      </c>
      <c r="O129" s="3">
        <f t="shared" si="13"/>
        <v>171.48948973010982</v>
      </c>
      <c r="P129" s="2" cm="1">
        <f t="array" ref="P129">SQRT(SUMPRODUCT(--($L$6:$L$300&lt;&gt;1),--($C$6:$C$300=$C129),$E$6:$E$300,$O$6:$O$300)/((N129-1)*SUMPRODUCT(--($L$6:$L$300&lt;&gt;1),--($C$6:$C$300=$C129),$E$6:$E$300)/N129))</f>
        <v>187.73865342151541</v>
      </c>
      <c r="Q129" s="2">
        <f t="shared" si="15"/>
        <v>301.42162685713635</v>
      </c>
      <c r="R129" s="2">
        <f t="shared" si="15"/>
        <v>782.61515726829293</v>
      </c>
      <c r="S129" s="2">
        <f t="shared" si="14"/>
        <v>528.92299249912321</v>
      </c>
    </row>
    <row r="130" spans="2:19" x14ac:dyDescent="0.35">
      <c r="B130">
        <v>287</v>
      </c>
      <c r="C130" s="17">
        <v>7</v>
      </c>
      <c r="D130" s="22" t="s">
        <v>147</v>
      </c>
      <c r="E130" s="90">
        <f>INDEX('Revised 2019 Lockdown'!H$5:H$257,MATCH(B130,'Revised 2019 Lockdown'!B$5:B$257,0))</f>
        <v>159.07256423396998</v>
      </c>
      <c r="F130" s="7">
        <f>INDEX('Revised 2019 Lockdown'!E$5:E$257,MATCH(B130,'Revised 2019 Lockdown'!B$5:B$257,0))</f>
        <v>122709.58</v>
      </c>
      <c r="G130" s="7">
        <f>INDEX('Revised 2019 Lockdown'!F$5:F$257,MATCH(B130,'Revised 2019 Lockdown'!B$5:B$257,0))</f>
        <v>1002.5</v>
      </c>
      <c r="H130" s="7">
        <f t="shared" si="11"/>
        <v>121707.08</v>
      </c>
      <c r="I130" s="6">
        <f t="shared" si="8"/>
        <v>765.1041559937928</v>
      </c>
      <c r="J130" s="6">
        <f t="shared" si="12"/>
        <v>765.1041559937928</v>
      </c>
      <c r="K130" s="5">
        <f t="shared" si="9"/>
        <v>121707.08</v>
      </c>
      <c r="L130" s="4">
        <f t="shared" si="10"/>
        <v>0</v>
      </c>
      <c r="M130" s="2" cm="1">
        <f t="array" ref="M130">SUMPRODUCT(--($L$6:$L$300&lt;&gt;1),--($C$6:$C$300=$C130),$H$6:$H$300)/SUMPRODUCT(--($L$6:$L$300&lt;&gt;1),--($C$6:$C$300=$C130),$E$6:$E$300)</f>
        <v>542.01839206271461</v>
      </c>
      <c r="N130" s="1" cm="1">
        <f t="array" ref="N130">SUMPRODUCT(--($L$6:$L$300&lt;&gt;1),--($C$6:$C$300=$C130))</f>
        <v>69</v>
      </c>
      <c r="O130" s="3">
        <f t="shared" si="13"/>
        <v>49767.258068712748</v>
      </c>
      <c r="P130" s="2" cm="1">
        <f t="array" ref="P130">SQRT(SUMPRODUCT(--($L$6:$L$300&lt;&gt;1),--($C$6:$C$300=$C130),$E$6:$E$300,$O$6:$O$300)/((N130-1)*SUMPRODUCT(--($L$6:$L$300&lt;&gt;1),--($C$6:$C$300=$C130),$E$6:$E$300)/N130))</f>
        <v>187.73865342151541</v>
      </c>
      <c r="Q130" s="2">
        <f t="shared" si="15"/>
        <v>301.42162685713635</v>
      </c>
      <c r="R130" s="2">
        <f t="shared" si="15"/>
        <v>782.61515726829293</v>
      </c>
      <c r="S130" s="2">
        <f t="shared" si="14"/>
        <v>765.1041559937928</v>
      </c>
    </row>
    <row r="131" spans="2:19" x14ac:dyDescent="0.35">
      <c r="B131">
        <v>290</v>
      </c>
      <c r="C131" s="17">
        <v>7</v>
      </c>
      <c r="D131" s="22" t="s">
        <v>148</v>
      </c>
      <c r="E131" s="90">
        <f>INDEX('Revised 2019 Lockdown'!H$5:H$257,MATCH(B131,'Revised 2019 Lockdown'!B$5:B$257,0))</f>
        <v>274.8776164213059</v>
      </c>
      <c r="F131" s="7">
        <f>INDEX('Revised 2019 Lockdown'!E$5:E$257,MATCH(B131,'Revised 2019 Lockdown'!B$5:B$257,0))</f>
        <v>123660.23</v>
      </c>
      <c r="G131" s="7">
        <f>INDEX('Revised 2019 Lockdown'!F$5:F$257,MATCH(B131,'Revised 2019 Lockdown'!B$5:B$257,0))</f>
        <v>4228.57</v>
      </c>
      <c r="H131" s="7">
        <f t="shared" si="11"/>
        <v>119431.66</v>
      </c>
      <c r="I131" s="6">
        <f t="shared" si="8"/>
        <v>434.49030719528167</v>
      </c>
      <c r="J131" s="6">
        <f t="shared" si="12"/>
        <v>434.49030719528167</v>
      </c>
      <c r="K131" s="5">
        <f t="shared" si="9"/>
        <v>119431.66</v>
      </c>
      <c r="L131" s="4">
        <f t="shared" si="10"/>
        <v>0</v>
      </c>
      <c r="M131" s="2" cm="1">
        <f t="array" ref="M131">SUMPRODUCT(--($L$6:$L$300&lt;&gt;1),--($C$6:$C$300=$C131),$H$6:$H$300)/SUMPRODUCT(--($L$6:$L$300&lt;&gt;1),--($C$6:$C$300=$C131),$E$6:$E$300)</f>
        <v>542.01839206271461</v>
      </c>
      <c r="N131" s="1" cm="1">
        <f t="array" ref="N131">SUMPRODUCT(--($L$6:$L$300&lt;&gt;1),--($C$6:$C$300=$C131))</f>
        <v>69</v>
      </c>
      <c r="O131" s="3">
        <f t="shared" si="13"/>
        <v>11562.28903525786</v>
      </c>
      <c r="P131" s="2" cm="1">
        <f t="array" ref="P131">SQRT(SUMPRODUCT(--($L$6:$L$300&lt;&gt;1),--($C$6:$C$300=$C131),$E$6:$E$300,$O$6:$O$300)/((N131-1)*SUMPRODUCT(--($L$6:$L$300&lt;&gt;1),--($C$6:$C$300=$C131),$E$6:$E$300)/N131))</f>
        <v>187.73865342151541</v>
      </c>
      <c r="Q131" s="2">
        <f t="shared" si="15"/>
        <v>301.42162685713635</v>
      </c>
      <c r="R131" s="2">
        <f t="shared" si="15"/>
        <v>782.61515726829293</v>
      </c>
      <c r="S131" s="2">
        <f t="shared" si="14"/>
        <v>434.49030719528167</v>
      </c>
    </row>
    <row r="132" spans="2:19" x14ac:dyDescent="0.35">
      <c r="B132">
        <v>294</v>
      </c>
      <c r="C132" s="17">
        <v>7</v>
      </c>
      <c r="D132" s="22" t="s">
        <v>149</v>
      </c>
      <c r="E132" s="90">
        <f>INDEX('Revised 2019 Lockdown'!H$5:H$257,MATCH(B132,'Revised 2019 Lockdown'!B$5:B$257,0))</f>
        <v>1039.1314711563653</v>
      </c>
      <c r="F132" s="7">
        <f>INDEX('Revised 2019 Lockdown'!E$5:E$257,MATCH(B132,'Revised 2019 Lockdown'!B$5:B$257,0))</f>
        <v>587423.01</v>
      </c>
      <c r="G132" s="7">
        <f>INDEX('Revised 2019 Lockdown'!F$5:F$257,MATCH(B132,'Revised 2019 Lockdown'!B$5:B$257,0))</f>
        <v>1414</v>
      </c>
      <c r="H132" s="7">
        <f t="shared" si="11"/>
        <v>586009.01</v>
      </c>
      <c r="I132" s="6">
        <f t="shared" si="8"/>
        <v>563.94116265950265</v>
      </c>
      <c r="J132" s="6">
        <f t="shared" si="12"/>
        <v>563.94116265950265</v>
      </c>
      <c r="K132" s="5">
        <f t="shared" si="9"/>
        <v>586009.01</v>
      </c>
      <c r="L132" s="4">
        <f t="shared" si="10"/>
        <v>0</v>
      </c>
      <c r="M132" s="2" cm="1">
        <f t="array" ref="M132">SUMPRODUCT(--($L$6:$L$300&lt;&gt;1),--($C$6:$C$300=$C132),$H$6:$H$300)/SUMPRODUCT(--($L$6:$L$300&lt;&gt;1),--($C$6:$C$300=$C132),$E$6:$E$300)</f>
        <v>542.01839206271461</v>
      </c>
      <c r="N132" s="1" cm="1">
        <f t="array" ref="N132">SUMPRODUCT(--($L$6:$L$300&lt;&gt;1),--($C$6:$C$300=$C132))</f>
        <v>69</v>
      </c>
      <c r="O132" s="3">
        <f t="shared" si="13"/>
        <v>480.60787063939426</v>
      </c>
      <c r="P132" s="2" cm="1">
        <f t="array" ref="P132">SQRT(SUMPRODUCT(--($L$6:$L$300&lt;&gt;1),--($C$6:$C$300=$C132),$E$6:$E$300,$O$6:$O$300)/((N132-1)*SUMPRODUCT(--($L$6:$L$300&lt;&gt;1),--($C$6:$C$300=$C132),$E$6:$E$300)/N132))</f>
        <v>187.73865342151541</v>
      </c>
      <c r="Q132" s="2">
        <f t="shared" si="15"/>
        <v>301.42162685713635</v>
      </c>
      <c r="R132" s="2">
        <f t="shared" si="15"/>
        <v>782.61515726829293</v>
      </c>
      <c r="S132" s="2">
        <f t="shared" si="14"/>
        <v>563.94116265950265</v>
      </c>
    </row>
    <row r="133" spans="2:19" x14ac:dyDescent="0.35">
      <c r="B133">
        <v>296</v>
      </c>
      <c r="C133" s="17">
        <v>7</v>
      </c>
      <c r="D133" s="22" t="s">
        <v>150</v>
      </c>
      <c r="E133" s="90">
        <f>INDEX('Revised 2019 Lockdown'!H$5:H$257,MATCH(B133,'Revised 2019 Lockdown'!B$5:B$257,0))</f>
        <v>799.83</v>
      </c>
      <c r="F133" s="7">
        <f>INDEX('Revised 2019 Lockdown'!E$5:E$257,MATCH(B133,'Revised 2019 Lockdown'!B$5:B$257,0))</f>
        <v>880549.01</v>
      </c>
      <c r="G133" s="7">
        <f>INDEX('Revised 2019 Lockdown'!F$5:F$257,MATCH(B133,'Revised 2019 Lockdown'!B$5:B$257,0))</f>
        <v>140281.66999999998</v>
      </c>
      <c r="H133" s="7">
        <f t="shared" si="11"/>
        <v>740267.34000000008</v>
      </c>
      <c r="I133" s="6">
        <f t="shared" si="8"/>
        <v>925.53085030569002</v>
      </c>
      <c r="J133" s="6">
        <f t="shared" si="12"/>
        <v>782.61515726829293</v>
      </c>
      <c r="K133" s="5">
        <f t="shared" si="9"/>
        <v>625959.08123789879</v>
      </c>
      <c r="L133" s="4">
        <f t="shared" si="10"/>
        <v>0</v>
      </c>
      <c r="M133" s="2" cm="1">
        <f t="array" ref="M133">SUMPRODUCT(--($L$6:$L$300&lt;&gt;1),--($C$6:$C$300=$C133),$H$6:$H$300)/SUMPRODUCT(--($L$6:$L$300&lt;&gt;1),--($C$6:$C$300=$C133),$E$6:$E$300)</f>
        <v>542.01839206271461</v>
      </c>
      <c r="N133" s="1" cm="1">
        <f t="array" ref="N133">SUMPRODUCT(--($L$6:$L$300&lt;&gt;1),--($C$6:$C$300=$C133))</f>
        <v>69</v>
      </c>
      <c r="O133" s="3">
        <f t="shared" si="13"/>
        <v>147081.80562756996</v>
      </c>
      <c r="P133" s="2" cm="1">
        <f t="array" ref="P133">SQRT(SUMPRODUCT(--($L$6:$L$300&lt;&gt;1),--($C$6:$C$300=$C133),$E$6:$E$300,$O$6:$O$300)/((N133-1)*SUMPRODUCT(--($L$6:$L$300&lt;&gt;1),--($C$6:$C$300=$C133),$E$6:$E$300)/N133))</f>
        <v>187.73865342151541</v>
      </c>
      <c r="Q133" s="2">
        <f t="shared" si="15"/>
        <v>301.42162685713635</v>
      </c>
      <c r="R133" s="2">
        <f t="shared" si="15"/>
        <v>782.61515726829293</v>
      </c>
      <c r="S133" s="2">
        <f t="shared" si="14"/>
        <v>782.61515726829293</v>
      </c>
    </row>
    <row r="134" spans="2:19" x14ac:dyDescent="0.35">
      <c r="B134">
        <v>301</v>
      </c>
      <c r="C134" s="17">
        <v>7</v>
      </c>
      <c r="D134" s="22" t="s">
        <v>151</v>
      </c>
      <c r="E134" s="90">
        <f>INDEX('Revised 2019 Lockdown'!H$5:H$257,MATCH(B134,'Revised 2019 Lockdown'!B$5:B$257,0))</f>
        <v>570.3041310256192</v>
      </c>
      <c r="F134" s="7">
        <f>INDEX('Revised 2019 Lockdown'!E$5:E$257,MATCH(B134,'Revised 2019 Lockdown'!B$5:B$257,0))</f>
        <v>272819.37</v>
      </c>
      <c r="G134" s="7">
        <f>INDEX('Revised 2019 Lockdown'!F$5:F$257,MATCH(B134,'Revised 2019 Lockdown'!B$5:B$257,0))</f>
        <v>512.72</v>
      </c>
      <c r="H134" s="7">
        <f t="shared" si="11"/>
        <v>272306.65000000002</v>
      </c>
      <c r="I134" s="6">
        <f t="shared" ref="I134:I197" si="16">H134/E134</f>
        <v>477.47620118109836</v>
      </c>
      <c r="J134" s="6">
        <f t="shared" si="12"/>
        <v>477.47620118109836</v>
      </c>
      <c r="K134" s="5">
        <f t="shared" ref="K134:K197" si="17">J134*E134</f>
        <v>272306.65000000002</v>
      </c>
      <c r="L134" s="4">
        <f t="shared" ref="L134:L197" si="18">IF(ISERROR(I134),1,0)</f>
        <v>0</v>
      </c>
      <c r="M134" s="2" cm="1">
        <f t="array" ref="M134">SUMPRODUCT(--($L$6:$L$300&lt;&gt;1),--($C$6:$C$300=$C134),$H$6:$H$300)/SUMPRODUCT(--($L$6:$L$300&lt;&gt;1),--($C$6:$C$300=$C134),$E$6:$E$300)</f>
        <v>542.01839206271461</v>
      </c>
      <c r="N134" s="1" cm="1">
        <f t="array" ref="N134">SUMPRODUCT(--($L$6:$L$300&lt;&gt;1),--($C$6:$C$300=$C134))</f>
        <v>69</v>
      </c>
      <c r="O134" s="3">
        <f t="shared" si="13"/>
        <v>4165.6944037989879</v>
      </c>
      <c r="P134" s="2" cm="1">
        <f t="array" ref="P134">SQRT(SUMPRODUCT(--($L$6:$L$300&lt;&gt;1),--($C$6:$C$300=$C134),$E$6:$E$300,$O$6:$O$300)/((N134-1)*SUMPRODUCT(--($L$6:$L$300&lt;&gt;1),--($C$6:$C$300=$C134),$E$6:$E$300)/N134))</f>
        <v>187.73865342151541</v>
      </c>
      <c r="Q134" s="2">
        <f t="shared" si="15"/>
        <v>301.42162685713635</v>
      </c>
      <c r="R134" s="2">
        <f t="shared" si="15"/>
        <v>782.61515726829293</v>
      </c>
      <c r="S134" s="2">
        <f t="shared" si="14"/>
        <v>477.47620118109836</v>
      </c>
    </row>
    <row r="135" spans="2:19" x14ac:dyDescent="0.35">
      <c r="B135">
        <v>321</v>
      </c>
      <c r="C135" s="17">
        <v>7</v>
      </c>
      <c r="D135" s="22" t="s">
        <v>152</v>
      </c>
      <c r="E135" s="90">
        <f>INDEX('Revised 2019 Lockdown'!H$5:H$257,MATCH(B135,'Revised 2019 Lockdown'!B$5:B$257,0))</f>
        <v>367.13</v>
      </c>
      <c r="F135" s="7">
        <f>INDEX('Revised 2019 Lockdown'!E$5:E$257,MATCH(B135,'Revised 2019 Lockdown'!B$5:B$257,0))</f>
        <v>499165.92</v>
      </c>
      <c r="G135" s="7">
        <f>INDEX('Revised 2019 Lockdown'!F$5:F$257,MATCH(B135,'Revised 2019 Lockdown'!B$5:B$257,0))</f>
        <v>29784.109999999997</v>
      </c>
      <c r="H135" s="7">
        <f t="shared" ref="H135:H198" si="19">F135-G135</f>
        <v>469381.81</v>
      </c>
      <c r="I135" s="6">
        <f t="shared" si="16"/>
        <v>1278.5166289870074</v>
      </c>
      <c r="J135" s="6">
        <f t="shared" ref="J135:J198" si="20">IF(ISERROR(IF($J$2=1,MAX(MIN(I135,R135),Q135),MIN(I135,R135))),R135,IF($J$2=1,MAX(MIN(I135,R135),Q135),MIN(I135,R135)))</f>
        <v>782.61515726829293</v>
      </c>
      <c r="K135" s="5">
        <f t="shared" si="17"/>
        <v>287321.50268790836</v>
      </c>
      <c r="L135" s="4">
        <f t="shared" si="18"/>
        <v>0</v>
      </c>
      <c r="M135" s="2" cm="1">
        <f t="array" ref="M135">SUMPRODUCT(--($L$6:$L$300&lt;&gt;1),--($C$6:$C$300=$C135),$H$6:$H$300)/SUMPRODUCT(--($L$6:$L$300&lt;&gt;1),--($C$6:$C$300=$C135),$E$6:$E$300)</f>
        <v>542.01839206271461</v>
      </c>
      <c r="N135" s="1" cm="1">
        <f t="array" ref="N135">SUMPRODUCT(--($L$6:$L$300&lt;&gt;1),--($C$6:$C$300=$C135))</f>
        <v>69</v>
      </c>
      <c r="O135" s="3">
        <f t="shared" ref="O135:O198" si="21">IF(ISERROR((I135-M135)^2),0,(I135-M135)^2)</f>
        <v>542429.65299259173</v>
      </c>
      <c r="P135" s="2" cm="1">
        <f t="array" ref="P135">SQRT(SUMPRODUCT(--($L$6:$L$300&lt;&gt;1),--($C$6:$C$300=$C135),$E$6:$E$300,$O$6:$O$300)/((N135-1)*SUMPRODUCT(--($L$6:$L$300&lt;&gt;1),--($C$6:$C$300=$C135),$E$6:$E$300)/N135))</f>
        <v>187.73865342151541</v>
      </c>
      <c r="Q135" s="2">
        <f t="shared" si="15"/>
        <v>301.42162685713635</v>
      </c>
      <c r="R135" s="2">
        <f t="shared" si="15"/>
        <v>782.61515726829293</v>
      </c>
      <c r="S135" s="2">
        <f t="shared" ref="S135:S198" si="22">IF(ISERROR(MAX(MIN(I135,R135),Q135)),R135,MAX(MIN(I135,R135),Q135))</f>
        <v>782.61515726829293</v>
      </c>
    </row>
    <row r="136" spans="2:19" x14ac:dyDescent="0.35">
      <c r="B136">
        <v>325</v>
      </c>
      <c r="C136" s="17">
        <v>7</v>
      </c>
      <c r="D136" s="22" t="s">
        <v>153</v>
      </c>
      <c r="E136" s="90">
        <f>INDEX('Revised 2019 Lockdown'!H$5:H$257,MATCH(B136,'Revised 2019 Lockdown'!B$5:B$257,0))</f>
        <v>334.4714798023104</v>
      </c>
      <c r="F136" s="7">
        <f>INDEX('Revised 2019 Lockdown'!E$5:E$257,MATCH(B136,'Revised 2019 Lockdown'!B$5:B$257,0))</f>
        <v>167952.06</v>
      </c>
      <c r="G136" s="7">
        <f>INDEX('Revised 2019 Lockdown'!F$5:F$257,MATCH(B136,'Revised 2019 Lockdown'!B$5:B$257,0))</f>
        <v>0</v>
      </c>
      <c r="H136" s="7">
        <f t="shared" si="19"/>
        <v>167952.06</v>
      </c>
      <c r="I136" s="6">
        <f t="shared" si="16"/>
        <v>502.14164776999274</v>
      </c>
      <c r="J136" s="6">
        <f t="shared" si="20"/>
        <v>502.14164776999274</v>
      </c>
      <c r="K136" s="5">
        <f t="shared" si="17"/>
        <v>167952.06</v>
      </c>
      <c r="L136" s="4">
        <f t="shared" si="18"/>
        <v>0</v>
      </c>
      <c r="M136" s="2" cm="1">
        <f t="array" ref="M136">SUMPRODUCT(--($L$6:$L$300&lt;&gt;1),--($C$6:$C$300=$C136),$H$6:$H$300)/SUMPRODUCT(--($L$6:$L$300&lt;&gt;1),--($C$6:$C$300=$C136),$E$6:$E$300)</f>
        <v>542.01839206271461</v>
      </c>
      <c r="N136" s="1" cm="1">
        <f t="array" ref="N136">SUMPRODUCT(--($L$6:$L$300&lt;&gt;1),--($C$6:$C$300=$C136))</f>
        <v>69</v>
      </c>
      <c r="O136" s="3">
        <f t="shared" si="21"/>
        <v>1590.154735387126</v>
      </c>
      <c r="P136" s="2" cm="1">
        <f t="array" ref="P136">SQRT(SUMPRODUCT(--($L$6:$L$300&lt;&gt;1),--($C$6:$C$300=$C136),$E$6:$E$300,$O$6:$O$300)/((N136-1)*SUMPRODUCT(--($L$6:$L$300&lt;&gt;1),--($C$6:$C$300=$C136),$E$6:$E$300)/N136))</f>
        <v>187.73865342151541</v>
      </c>
      <c r="Q136" s="2">
        <f t="shared" si="15"/>
        <v>301.42162685713635</v>
      </c>
      <c r="R136" s="2">
        <f t="shared" si="15"/>
        <v>782.61515726829293</v>
      </c>
      <c r="S136" s="2">
        <f t="shared" si="22"/>
        <v>502.14164776999274</v>
      </c>
    </row>
    <row r="137" spans="2:19" x14ac:dyDescent="0.35">
      <c r="B137">
        <v>346</v>
      </c>
      <c r="C137" s="17">
        <v>7</v>
      </c>
      <c r="D137" s="22" t="s">
        <v>154</v>
      </c>
      <c r="E137" s="90">
        <f>INDEX('Revised 2019 Lockdown'!H$5:H$257,MATCH(B137,'Revised 2019 Lockdown'!B$5:B$257,0))</f>
        <v>223.88000000000002</v>
      </c>
      <c r="F137" s="7">
        <f>INDEX('Revised 2019 Lockdown'!E$5:E$257,MATCH(B137,'Revised 2019 Lockdown'!B$5:B$257,0))</f>
        <v>141740.18</v>
      </c>
      <c r="G137" s="7">
        <f>INDEX('Revised 2019 Lockdown'!F$5:F$257,MATCH(B137,'Revised 2019 Lockdown'!B$5:B$257,0))</f>
        <v>18678.990000000002</v>
      </c>
      <c r="H137" s="7">
        <f t="shared" si="19"/>
        <v>123061.18999999999</v>
      </c>
      <c r="I137" s="6">
        <f t="shared" si="16"/>
        <v>549.67478113274956</v>
      </c>
      <c r="J137" s="6">
        <f t="shared" si="20"/>
        <v>549.67478113274956</v>
      </c>
      <c r="K137" s="5">
        <f t="shared" si="17"/>
        <v>123061.18999999999</v>
      </c>
      <c r="L137" s="4">
        <f t="shared" si="18"/>
        <v>0</v>
      </c>
      <c r="M137" s="2" cm="1">
        <f t="array" ref="M137">SUMPRODUCT(--($L$6:$L$300&lt;&gt;1),--($C$6:$C$300=$C137),$H$6:$H$300)/SUMPRODUCT(--($L$6:$L$300&lt;&gt;1),--($C$6:$C$300=$C137),$E$6:$E$300)</f>
        <v>542.01839206271461</v>
      </c>
      <c r="N137" s="1" cm="1">
        <f t="array" ref="N137">SUMPRODUCT(--($L$6:$L$300&lt;&gt;1),--($C$6:$C$300=$C137))</f>
        <v>69</v>
      </c>
      <c r="O137" s="3">
        <f t="shared" si="21"/>
        <v>58.62029359175061</v>
      </c>
      <c r="P137" s="2" cm="1">
        <f t="array" ref="P137">SQRT(SUMPRODUCT(--($L$6:$L$300&lt;&gt;1),--($C$6:$C$300=$C137),$E$6:$E$300,$O$6:$O$300)/((N137-1)*SUMPRODUCT(--($L$6:$L$300&lt;&gt;1),--($C$6:$C$300=$C137),$E$6:$E$300)/N137))</f>
        <v>187.73865342151541</v>
      </c>
      <c r="Q137" s="2">
        <f t="shared" si="15"/>
        <v>301.42162685713635</v>
      </c>
      <c r="R137" s="2">
        <f t="shared" si="15"/>
        <v>782.61515726829293</v>
      </c>
      <c r="S137" s="2">
        <f t="shared" si="22"/>
        <v>549.67478113274956</v>
      </c>
    </row>
    <row r="138" spans="2:19" x14ac:dyDescent="0.35">
      <c r="B138">
        <v>358</v>
      </c>
      <c r="C138" s="17">
        <v>7</v>
      </c>
      <c r="D138" s="22" t="s">
        <v>155</v>
      </c>
      <c r="E138" s="90">
        <f>INDEX('Revised 2019 Lockdown'!H$5:H$257,MATCH(B138,'Revised 2019 Lockdown'!B$5:B$257,0))</f>
        <v>394.71</v>
      </c>
      <c r="F138" s="7">
        <f>INDEX('Revised 2019 Lockdown'!E$5:E$257,MATCH(B138,'Revised 2019 Lockdown'!B$5:B$257,0))</f>
        <v>249358.72</v>
      </c>
      <c r="G138" s="7">
        <f>INDEX('Revised 2019 Lockdown'!F$5:F$257,MATCH(B138,'Revised 2019 Lockdown'!B$5:B$257,0))</f>
        <v>33885.050000000003</v>
      </c>
      <c r="H138" s="7">
        <f t="shared" si="19"/>
        <v>215473.66999999998</v>
      </c>
      <c r="I138" s="6">
        <f t="shared" si="16"/>
        <v>545.90375212181095</v>
      </c>
      <c r="J138" s="6">
        <f t="shared" si="20"/>
        <v>545.90375212181095</v>
      </c>
      <c r="K138" s="5">
        <f t="shared" si="17"/>
        <v>215473.66999999998</v>
      </c>
      <c r="L138" s="4">
        <f t="shared" si="18"/>
        <v>0</v>
      </c>
      <c r="M138" s="2" cm="1">
        <f t="array" ref="M138">SUMPRODUCT(--($L$6:$L$300&lt;&gt;1),--($C$6:$C$300=$C138),$H$6:$H$300)/SUMPRODUCT(--($L$6:$L$300&lt;&gt;1),--($C$6:$C$300=$C138),$E$6:$E$300)</f>
        <v>542.01839206271461</v>
      </c>
      <c r="N138" s="1" cm="1">
        <f t="array" ref="N138">SUMPRODUCT(--($L$6:$L$300&lt;&gt;1),--($C$6:$C$300=$C138))</f>
        <v>69</v>
      </c>
      <c r="O138" s="3">
        <f t="shared" si="21"/>
        <v>15.096022788821134</v>
      </c>
      <c r="P138" s="2" cm="1">
        <f t="array" ref="P138">SQRT(SUMPRODUCT(--($L$6:$L$300&lt;&gt;1),--($C$6:$C$300=$C138),$E$6:$E$300,$O$6:$O$300)/((N138-1)*SUMPRODUCT(--($L$6:$L$300&lt;&gt;1),--($C$6:$C$300=$C138),$E$6:$E$300)/N138))</f>
        <v>187.73865342151541</v>
      </c>
      <c r="Q138" s="2">
        <f t="shared" si="15"/>
        <v>301.42162685713635</v>
      </c>
      <c r="R138" s="2">
        <f t="shared" si="15"/>
        <v>782.61515726829293</v>
      </c>
      <c r="S138" s="2">
        <f t="shared" si="22"/>
        <v>545.90375212181095</v>
      </c>
    </row>
    <row r="139" spans="2:19" x14ac:dyDescent="0.35">
      <c r="B139">
        <v>361</v>
      </c>
      <c r="C139" s="17">
        <v>7</v>
      </c>
      <c r="D139" s="22" t="s">
        <v>156</v>
      </c>
      <c r="E139" s="90">
        <f>INDEX('Revised 2019 Lockdown'!H$5:H$257,MATCH(B139,'Revised 2019 Lockdown'!B$5:B$257,0))</f>
        <v>1529.9173871204</v>
      </c>
      <c r="F139" s="7">
        <f>INDEX('Revised 2019 Lockdown'!E$5:E$257,MATCH(B139,'Revised 2019 Lockdown'!B$5:B$257,0))</f>
        <v>950847.24</v>
      </c>
      <c r="G139" s="7">
        <f>INDEX('Revised 2019 Lockdown'!F$5:F$257,MATCH(B139,'Revised 2019 Lockdown'!B$5:B$257,0))</f>
        <v>8401.06</v>
      </c>
      <c r="H139" s="7">
        <f t="shared" si="19"/>
        <v>942446.17999999993</v>
      </c>
      <c r="I139" s="6">
        <f t="shared" si="16"/>
        <v>616.01115716049583</v>
      </c>
      <c r="J139" s="6">
        <f t="shared" si="20"/>
        <v>616.01115716049583</v>
      </c>
      <c r="K139" s="5">
        <f t="shared" si="17"/>
        <v>942446.17999999982</v>
      </c>
      <c r="L139" s="4">
        <f t="shared" si="18"/>
        <v>0</v>
      </c>
      <c r="M139" s="2" cm="1">
        <f t="array" ref="M139">SUMPRODUCT(--($L$6:$L$300&lt;&gt;1),--($C$6:$C$300=$C139),$H$6:$H$300)/SUMPRODUCT(--($L$6:$L$300&lt;&gt;1),--($C$6:$C$300=$C139),$E$6:$E$300)</f>
        <v>542.01839206271461</v>
      </c>
      <c r="N139" s="1" cm="1">
        <f t="array" ref="N139">SUMPRODUCT(--($L$6:$L$300&lt;&gt;1),--($C$6:$C$300=$C139))</f>
        <v>69</v>
      </c>
      <c r="O139" s="3">
        <f t="shared" si="21"/>
        <v>5474.9292868154298</v>
      </c>
      <c r="P139" s="2" cm="1">
        <f t="array" ref="P139">SQRT(SUMPRODUCT(--($L$6:$L$300&lt;&gt;1),--($C$6:$C$300=$C139),$E$6:$E$300,$O$6:$O$300)/((N139-1)*SUMPRODUCT(--($L$6:$L$300&lt;&gt;1),--($C$6:$C$300=$C139),$E$6:$E$300)/N139))</f>
        <v>187.73865342151541</v>
      </c>
      <c r="Q139" s="2">
        <f t="shared" si="15"/>
        <v>301.42162685713635</v>
      </c>
      <c r="R139" s="2">
        <f t="shared" si="15"/>
        <v>782.61515726829293</v>
      </c>
      <c r="S139" s="2">
        <f t="shared" si="22"/>
        <v>616.01115716049583</v>
      </c>
    </row>
    <row r="140" spans="2:19" x14ac:dyDescent="0.35">
      <c r="B140">
        <v>376</v>
      </c>
      <c r="C140" s="17">
        <v>7</v>
      </c>
      <c r="D140" s="22" t="s">
        <v>157</v>
      </c>
      <c r="E140" s="90">
        <f>INDEX('Revised 2019 Lockdown'!H$5:H$257,MATCH(B140,'Revised 2019 Lockdown'!B$5:B$257,0))</f>
        <v>640.18588281699169</v>
      </c>
      <c r="F140" s="7">
        <f>INDEX('Revised 2019 Lockdown'!E$5:E$257,MATCH(B140,'Revised 2019 Lockdown'!B$5:B$257,0))</f>
        <v>292314.15999999997</v>
      </c>
      <c r="G140" s="7">
        <f>INDEX('Revised 2019 Lockdown'!F$5:F$257,MATCH(B140,'Revised 2019 Lockdown'!B$5:B$257,0))</f>
        <v>428</v>
      </c>
      <c r="H140" s="7">
        <f t="shared" si="19"/>
        <v>291886.15999999997</v>
      </c>
      <c r="I140" s="6">
        <f t="shared" si="16"/>
        <v>455.93970100624779</v>
      </c>
      <c r="J140" s="6">
        <f t="shared" si="20"/>
        <v>455.93970100624779</v>
      </c>
      <c r="K140" s="5">
        <f t="shared" si="17"/>
        <v>291886.15999999997</v>
      </c>
      <c r="L140" s="4">
        <f t="shared" si="18"/>
        <v>0</v>
      </c>
      <c r="M140" s="2" cm="1">
        <f t="array" ref="M140">SUMPRODUCT(--($L$6:$L$300&lt;&gt;1),--($C$6:$C$300=$C140),$H$6:$H$300)/SUMPRODUCT(--($L$6:$L$300&lt;&gt;1),--($C$6:$C$300=$C140),$E$6:$E$300)</f>
        <v>542.01839206271461</v>
      </c>
      <c r="N140" s="1" cm="1">
        <f t="array" ref="N140">SUMPRODUCT(--($L$6:$L$300&lt;&gt;1),--($C$6:$C$300=$C140))</f>
        <v>69</v>
      </c>
      <c r="O140" s="3">
        <f t="shared" si="21"/>
        <v>7409.5410539946615</v>
      </c>
      <c r="P140" s="2" cm="1">
        <f t="array" ref="P140">SQRT(SUMPRODUCT(--($L$6:$L$300&lt;&gt;1),--($C$6:$C$300=$C140),$E$6:$E$300,$O$6:$O$300)/((N140-1)*SUMPRODUCT(--($L$6:$L$300&lt;&gt;1),--($C$6:$C$300=$C140),$E$6:$E$300)/N140))</f>
        <v>187.73865342151541</v>
      </c>
      <c r="Q140" s="2">
        <f t="shared" si="15"/>
        <v>301.42162685713635</v>
      </c>
      <c r="R140" s="2">
        <f t="shared" si="15"/>
        <v>782.61515726829293</v>
      </c>
      <c r="S140" s="2">
        <f t="shared" si="22"/>
        <v>455.93970100624779</v>
      </c>
    </row>
    <row r="141" spans="2:19" x14ac:dyDescent="0.35">
      <c r="B141">
        <v>382</v>
      </c>
      <c r="C141" s="17">
        <v>7</v>
      </c>
      <c r="D141" s="22" t="s">
        <v>158</v>
      </c>
      <c r="E141" s="90">
        <f>INDEX('Revised 2019 Lockdown'!H$5:H$257,MATCH(B141,'Revised 2019 Lockdown'!B$5:B$257,0))</f>
        <v>188.48</v>
      </c>
      <c r="F141" s="7">
        <f>INDEX('Revised 2019 Lockdown'!E$5:E$257,MATCH(B141,'Revised 2019 Lockdown'!B$5:B$257,0))</f>
        <v>102492.26</v>
      </c>
      <c r="G141" s="7">
        <f>INDEX('Revised 2019 Lockdown'!F$5:F$257,MATCH(B141,'Revised 2019 Lockdown'!B$5:B$257,0))</f>
        <v>19148.469999999998</v>
      </c>
      <c r="H141" s="7">
        <f t="shared" si="19"/>
        <v>83343.789999999994</v>
      </c>
      <c r="I141" s="6">
        <f t="shared" si="16"/>
        <v>442.18903862478777</v>
      </c>
      <c r="J141" s="6">
        <f t="shared" si="20"/>
        <v>442.18903862478777</v>
      </c>
      <c r="K141" s="5">
        <f t="shared" si="17"/>
        <v>83343.789999999994</v>
      </c>
      <c r="L141" s="4">
        <f t="shared" si="18"/>
        <v>0</v>
      </c>
      <c r="M141" s="2" cm="1">
        <f t="array" ref="M141">SUMPRODUCT(--($L$6:$L$300&lt;&gt;1),--($C$6:$C$300=$C141),$H$6:$H$300)/SUMPRODUCT(--($L$6:$L$300&lt;&gt;1),--($C$6:$C$300=$C141),$E$6:$E$300)</f>
        <v>542.01839206271461</v>
      </c>
      <c r="N141" s="1" cm="1">
        <f t="array" ref="N141">SUMPRODUCT(--($L$6:$L$300&lt;&gt;1),--($C$6:$C$300=$C141))</f>
        <v>69</v>
      </c>
      <c r="O141" s="3">
        <f t="shared" si="21"/>
        <v>9965.8998078345157</v>
      </c>
      <c r="P141" s="2" cm="1">
        <f t="array" ref="P141">SQRT(SUMPRODUCT(--($L$6:$L$300&lt;&gt;1),--($C$6:$C$300=$C141),$E$6:$E$300,$O$6:$O$300)/((N141-1)*SUMPRODUCT(--($L$6:$L$300&lt;&gt;1),--($C$6:$C$300=$C141),$E$6:$E$300)/N141))</f>
        <v>187.73865342151541</v>
      </c>
      <c r="Q141" s="2">
        <f t="shared" si="15"/>
        <v>301.42162685713635</v>
      </c>
      <c r="R141" s="2">
        <f t="shared" si="15"/>
        <v>782.61515726829293</v>
      </c>
      <c r="S141" s="2">
        <f t="shared" si="22"/>
        <v>442.18903862478777</v>
      </c>
    </row>
    <row r="142" spans="2:19" x14ac:dyDescent="0.35">
      <c r="B142">
        <v>389</v>
      </c>
      <c r="C142" s="17">
        <v>7</v>
      </c>
      <c r="D142" s="22" t="s">
        <v>159</v>
      </c>
      <c r="E142" s="90">
        <f>INDEX('Revised 2019 Lockdown'!H$5:H$257,MATCH(B142,'Revised 2019 Lockdown'!B$5:B$257,0))</f>
        <v>867.99901008098129</v>
      </c>
      <c r="F142" s="7">
        <f>INDEX('Revised 2019 Lockdown'!E$5:E$257,MATCH(B142,'Revised 2019 Lockdown'!B$5:B$257,0))</f>
        <v>170757.02</v>
      </c>
      <c r="G142" s="7">
        <f>INDEX('Revised 2019 Lockdown'!F$5:F$257,MATCH(B142,'Revised 2019 Lockdown'!B$5:B$257,0))</f>
        <v>807.5</v>
      </c>
      <c r="H142" s="7">
        <f t="shared" si="19"/>
        <v>169949.52</v>
      </c>
      <c r="I142" s="6">
        <f t="shared" si="16"/>
        <v>195.79460117603622</v>
      </c>
      <c r="J142" s="6">
        <f t="shared" si="20"/>
        <v>195.79460117603622</v>
      </c>
      <c r="K142" s="5">
        <f t="shared" si="17"/>
        <v>169949.52</v>
      </c>
      <c r="L142" s="4">
        <f t="shared" si="18"/>
        <v>0</v>
      </c>
      <c r="M142" s="2" cm="1">
        <f t="array" ref="M142">SUMPRODUCT(--($L$6:$L$300&lt;&gt;1),--($C$6:$C$300=$C142),$H$6:$H$300)/SUMPRODUCT(--($L$6:$L$300&lt;&gt;1),--($C$6:$C$300=$C142),$E$6:$E$300)</f>
        <v>542.01839206271461</v>
      </c>
      <c r="N142" s="1" cm="1">
        <f t="array" ref="N142">SUMPRODUCT(--($L$6:$L$300&lt;&gt;1),--($C$6:$C$300=$C142))</f>
        <v>69</v>
      </c>
      <c r="O142" s="3">
        <f t="shared" si="21"/>
        <v>119870.9133759424</v>
      </c>
      <c r="P142" s="2" cm="1">
        <f t="array" ref="P142">SQRT(SUMPRODUCT(--($L$6:$L$300&lt;&gt;1),--($C$6:$C$300=$C142),$E$6:$E$300,$O$6:$O$300)/((N142-1)*SUMPRODUCT(--($L$6:$L$300&lt;&gt;1),--($C$6:$C$300=$C142),$E$6:$E$300)/N142))</f>
        <v>187.73865342151541</v>
      </c>
      <c r="Q142" s="2">
        <f t="shared" si="15"/>
        <v>301.42162685713635</v>
      </c>
      <c r="R142" s="2">
        <f t="shared" si="15"/>
        <v>782.61515726829293</v>
      </c>
      <c r="S142" s="2">
        <f t="shared" si="22"/>
        <v>301.42162685713635</v>
      </c>
    </row>
    <row r="143" spans="2:19" x14ac:dyDescent="0.35">
      <c r="B143">
        <v>420</v>
      </c>
      <c r="C143" s="17">
        <v>7</v>
      </c>
      <c r="D143" s="22" t="s">
        <v>255</v>
      </c>
      <c r="E143" s="90">
        <f>INDEX('Revised 2019 Lockdown'!H$5:H$257,MATCH(B143,'Revised 2019 Lockdown'!B$5:B$257,0))</f>
        <v>342.99823535503288</v>
      </c>
      <c r="F143" s="7">
        <f>INDEX('Revised 2019 Lockdown'!E$5:E$257,MATCH(B143,'Revised 2019 Lockdown'!B$5:B$257,0))</f>
        <v>176959.11</v>
      </c>
      <c r="G143" s="7">
        <f>INDEX('Revised 2019 Lockdown'!F$5:F$257,MATCH(B143,'Revised 2019 Lockdown'!B$5:B$257,0))</f>
        <v>167</v>
      </c>
      <c r="H143" s="7">
        <f t="shared" si="19"/>
        <v>176792.11</v>
      </c>
      <c r="I143" s="6">
        <f t="shared" si="16"/>
        <v>515.43154388827929</v>
      </c>
      <c r="J143" s="6">
        <f t="shared" si="20"/>
        <v>515.43154388827929</v>
      </c>
      <c r="K143" s="5">
        <f t="shared" si="17"/>
        <v>176792.11</v>
      </c>
      <c r="L143" s="4">
        <f t="shared" si="18"/>
        <v>0</v>
      </c>
      <c r="M143" s="2" cm="1">
        <f t="array" ref="M143">SUMPRODUCT(--($L$6:$L$300&lt;&gt;1),--($C$6:$C$300=$C143),$H$6:$H$300)/SUMPRODUCT(--($L$6:$L$300&lt;&gt;1),--($C$6:$C$300=$C143),$E$6:$E$300)</f>
        <v>542.01839206271461</v>
      </c>
      <c r="N143" s="1" cm="1">
        <f t="array" ref="N143">SUMPRODUCT(--($L$6:$L$300&lt;&gt;1),--($C$6:$C$300=$C143))</f>
        <v>69</v>
      </c>
      <c r="O143" s="3">
        <f t="shared" si="21"/>
        <v>706.86049585047454</v>
      </c>
      <c r="P143" s="2" cm="1">
        <f t="array" ref="P143">SQRT(SUMPRODUCT(--($L$6:$L$300&lt;&gt;1),--($C$6:$C$300=$C143),$E$6:$E$300,$O$6:$O$300)/((N143-1)*SUMPRODUCT(--($L$6:$L$300&lt;&gt;1),--($C$6:$C$300=$C143),$E$6:$E$300)/N143))</f>
        <v>187.73865342151541</v>
      </c>
      <c r="Q143" s="2">
        <f t="shared" si="15"/>
        <v>301.42162685713635</v>
      </c>
      <c r="R143" s="2">
        <f t="shared" si="15"/>
        <v>782.61515726829293</v>
      </c>
      <c r="S143" s="2">
        <f t="shared" si="22"/>
        <v>515.43154388827929</v>
      </c>
    </row>
    <row r="144" spans="2:19" x14ac:dyDescent="0.35">
      <c r="B144">
        <v>434</v>
      </c>
      <c r="C144" s="17">
        <v>7</v>
      </c>
      <c r="D144" s="22" t="s">
        <v>160</v>
      </c>
      <c r="E144" s="90">
        <f>INDEX('Revised 2019 Lockdown'!H$5:H$257,MATCH(B144,'Revised 2019 Lockdown'!B$5:B$257,0))</f>
        <v>253.47632993519809</v>
      </c>
      <c r="F144" s="7">
        <f>INDEX('Revised 2019 Lockdown'!E$5:E$257,MATCH(B144,'Revised 2019 Lockdown'!B$5:B$257,0))</f>
        <v>134168.73000000001</v>
      </c>
      <c r="G144" s="7">
        <f>INDEX('Revised 2019 Lockdown'!F$5:F$257,MATCH(B144,'Revised 2019 Lockdown'!B$5:B$257,0))</f>
        <v>0</v>
      </c>
      <c r="H144" s="7">
        <f t="shared" si="19"/>
        <v>134168.73000000001</v>
      </c>
      <c r="I144" s="6">
        <f t="shared" si="16"/>
        <v>529.3146308150375</v>
      </c>
      <c r="J144" s="6">
        <f t="shared" si="20"/>
        <v>529.3146308150375</v>
      </c>
      <c r="K144" s="5">
        <f t="shared" si="17"/>
        <v>134168.73000000001</v>
      </c>
      <c r="L144" s="4">
        <f t="shared" si="18"/>
        <v>0</v>
      </c>
      <c r="M144" s="2" cm="1">
        <f t="array" ref="M144">SUMPRODUCT(--($L$6:$L$300&lt;&gt;1),--($C$6:$C$300=$C144),$H$6:$H$300)/SUMPRODUCT(--($L$6:$L$300&lt;&gt;1),--($C$6:$C$300=$C144),$E$6:$E$300)</f>
        <v>542.01839206271461</v>
      </c>
      <c r="N144" s="1" cm="1">
        <f t="array" ref="N144">SUMPRODUCT(--($L$6:$L$300&lt;&gt;1),--($C$6:$C$300=$C144))</f>
        <v>69</v>
      </c>
      <c r="O144" s="3">
        <f t="shared" si="21"/>
        <v>161.38554983798261</v>
      </c>
      <c r="P144" s="2" cm="1">
        <f t="array" ref="P144">SQRT(SUMPRODUCT(--($L$6:$L$300&lt;&gt;1),--($C$6:$C$300=$C144),$E$6:$E$300,$O$6:$O$300)/((N144-1)*SUMPRODUCT(--($L$6:$L$300&lt;&gt;1),--($C$6:$C$300=$C144),$E$6:$E$300)/N144))</f>
        <v>187.73865342151541</v>
      </c>
      <c r="Q144" s="2">
        <f t="shared" si="15"/>
        <v>301.42162685713635</v>
      </c>
      <c r="R144" s="2">
        <f t="shared" si="15"/>
        <v>782.61515726829293</v>
      </c>
      <c r="S144" s="2">
        <f t="shared" si="22"/>
        <v>529.3146308150375</v>
      </c>
    </row>
    <row r="145" spans="2:19" x14ac:dyDescent="0.35">
      <c r="B145">
        <v>437</v>
      </c>
      <c r="C145" s="17">
        <v>7</v>
      </c>
      <c r="D145" s="22" t="s">
        <v>161</v>
      </c>
      <c r="E145" s="90">
        <f>INDEX('Revised 2019 Lockdown'!H$5:H$257,MATCH(B145,'Revised 2019 Lockdown'!B$5:B$257,0))</f>
        <v>305.36634845286437</v>
      </c>
      <c r="F145" s="7">
        <f>INDEX('Revised 2019 Lockdown'!E$5:E$257,MATCH(B145,'Revised 2019 Lockdown'!B$5:B$257,0))</f>
        <v>243556.24</v>
      </c>
      <c r="G145" s="7">
        <f>INDEX('Revised 2019 Lockdown'!F$5:F$257,MATCH(B145,'Revised 2019 Lockdown'!B$5:B$257,0))</f>
        <v>0</v>
      </c>
      <c r="H145" s="7">
        <f t="shared" si="19"/>
        <v>243556.24</v>
      </c>
      <c r="I145" s="6">
        <f t="shared" si="16"/>
        <v>797.58703352211307</v>
      </c>
      <c r="J145" s="6">
        <f t="shared" si="20"/>
        <v>782.61515726829293</v>
      </c>
      <c r="K145" s="5">
        <f t="shared" si="17"/>
        <v>238984.3328188828</v>
      </c>
      <c r="L145" s="4">
        <f t="shared" si="18"/>
        <v>0</v>
      </c>
      <c r="M145" s="2" cm="1">
        <f t="array" ref="M145">SUMPRODUCT(--($L$6:$L$300&lt;&gt;1),--($C$6:$C$300=$C145),$H$6:$H$300)/SUMPRODUCT(--($L$6:$L$300&lt;&gt;1),--($C$6:$C$300=$C145),$E$6:$E$300)</f>
        <v>542.01839206271461</v>
      </c>
      <c r="N145" s="1" cm="1">
        <f t="array" ref="N145">SUMPRODUCT(--($L$6:$L$300&lt;&gt;1),--($C$6:$C$300=$C145))</f>
        <v>69</v>
      </c>
      <c r="O145" s="3">
        <f t="shared" si="21"/>
        <v>65315.330497402567</v>
      </c>
      <c r="P145" s="2" cm="1">
        <f t="array" ref="P145">SQRT(SUMPRODUCT(--($L$6:$L$300&lt;&gt;1),--($C$6:$C$300=$C145),$E$6:$E$300,$O$6:$O$300)/((N145-1)*SUMPRODUCT(--($L$6:$L$300&lt;&gt;1),--($C$6:$C$300=$C145),$E$6:$E$300)/N145))</f>
        <v>187.73865342151541</v>
      </c>
      <c r="Q145" s="2">
        <f t="shared" si="15"/>
        <v>301.42162685713635</v>
      </c>
      <c r="R145" s="2">
        <f t="shared" si="15"/>
        <v>782.61515726829293</v>
      </c>
      <c r="S145" s="2">
        <f t="shared" si="22"/>
        <v>782.61515726829293</v>
      </c>
    </row>
    <row r="146" spans="2:19" x14ac:dyDescent="0.35">
      <c r="B146">
        <v>502</v>
      </c>
      <c r="C146" s="17">
        <v>7</v>
      </c>
      <c r="D146" s="22" t="s">
        <v>162</v>
      </c>
      <c r="E146" s="90">
        <f>INDEX('Revised 2019 Lockdown'!H$5:H$257,MATCH(B146,'Revised 2019 Lockdown'!B$5:B$257,0))</f>
        <v>497.74545729062561</v>
      </c>
      <c r="F146" s="7">
        <f>INDEX('Revised 2019 Lockdown'!E$5:E$257,MATCH(B146,'Revised 2019 Lockdown'!B$5:B$257,0))</f>
        <v>294346.69</v>
      </c>
      <c r="G146" s="7">
        <f>INDEX('Revised 2019 Lockdown'!F$5:F$257,MATCH(B146,'Revised 2019 Lockdown'!B$5:B$257,0))</f>
        <v>0</v>
      </c>
      <c r="H146" s="7">
        <f t="shared" si="19"/>
        <v>294346.69</v>
      </c>
      <c r="I146" s="6">
        <f t="shared" si="16"/>
        <v>591.35987217686591</v>
      </c>
      <c r="J146" s="6">
        <f t="shared" si="20"/>
        <v>591.35987217686591</v>
      </c>
      <c r="K146" s="5">
        <f t="shared" si="17"/>
        <v>294346.69</v>
      </c>
      <c r="L146" s="4">
        <f t="shared" si="18"/>
        <v>0</v>
      </c>
      <c r="M146" s="2" cm="1">
        <f t="array" ref="M146">SUMPRODUCT(--($L$6:$L$300&lt;&gt;1),--($C$6:$C$300=$C146),$H$6:$H$300)/SUMPRODUCT(--($L$6:$L$300&lt;&gt;1),--($C$6:$C$300=$C146),$E$6:$E$300)</f>
        <v>542.01839206271461</v>
      </c>
      <c r="N146" s="1" cm="1">
        <f t="array" ref="N146">SUMPRODUCT(--($L$6:$L$300&lt;&gt;1),--($C$6:$C$300=$C146))</f>
        <v>69</v>
      </c>
      <c r="O146" s="3">
        <f t="shared" si="21"/>
        <v>2434.5816598551878</v>
      </c>
      <c r="P146" s="2" cm="1">
        <f t="array" ref="P146">SQRT(SUMPRODUCT(--($L$6:$L$300&lt;&gt;1),--($C$6:$C$300=$C146),$E$6:$E$300,$O$6:$O$300)/((N146-1)*SUMPRODUCT(--($L$6:$L$300&lt;&gt;1),--($C$6:$C$300=$C146),$E$6:$E$300)/N146))</f>
        <v>187.73865342151541</v>
      </c>
      <c r="Q146" s="2">
        <f t="shared" si="15"/>
        <v>301.42162685713635</v>
      </c>
      <c r="R146" s="2">
        <f t="shared" si="15"/>
        <v>782.61515726829293</v>
      </c>
      <c r="S146" s="2">
        <f t="shared" si="22"/>
        <v>591.35987217686591</v>
      </c>
    </row>
    <row r="147" spans="2:19" x14ac:dyDescent="0.35">
      <c r="B147">
        <v>503</v>
      </c>
      <c r="C147" s="17">
        <v>7</v>
      </c>
      <c r="D147" s="22" t="s">
        <v>163</v>
      </c>
      <c r="E147" s="90">
        <f>INDEX('Revised 2019 Lockdown'!H$5:H$257,MATCH(B147,'Revised 2019 Lockdown'!B$5:B$257,0))</f>
        <v>391.2185740323925</v>
      </c>
      <c r="F147" s="7">
        <f>INDEX('Revised 2019 Lockdown'!E$5:E$257,MATCH(B147,'Revised 2019 Lockdown'!B$5:B$257,0))</f>
        <v>213000.07</v>
      </c>
      <c r="G147" s="7">
        <f>INDEX('Revised 2019 Lockdown'!F$5:F$257,MATCH(B147,'Revised 2019 Lockdown'!B$5:B$257,0))</f>
        <v>33972.22</v>
      </c>
      <c r="H147" s="7">
        <f t="shared" si="19"/>
        <v>179027.85</v>
      </c>
      <c r="I147" s="6">
        <f t="shared" si="16"/>
        <v>457.61592593805807</v>
      </c>
      <c r="J147" s="6">
        <f t="shared" si="20"/>
        <v>457.61592593805807</v>
      </c>
      <c r="K147" s="5">
        <f t="shared" si="17"/>
        <v>179027.85</v>
      </c>
      <c r="L147" s="4">
        <f t="shared" si="18"/>
        <v>0</v>
      </c>
      <c r="M147" s="2" cm="1">
        <f t="array" ref="M147">SUMPRODUCT(--($L$6:$L$300&lt;&gt;1),--($C$6:$C$300=$C147),$H$6:$H$300)/SUMPRODUCT(--($L$6:$L$300&lt;&gt;1),--($C$6:$C$300=$C147),$E$6:$E$300)</f>
        <v>542.01839206271461</v>
      </c>
      <c r="N147" s="1" cm="1">
        <f t="array" ref="N147">SUMPRODUCT(--($L$6:$L$300&lt;&gt;1),--($C$6:$C$300=$C147))</f>
        <v>69</v>
      </c>
      <c r="O147" s="3">
        <f t="shared" si="21"/>
        <v>7123.7762879237953</v>
      </c>
      <c r="P147" s="2" cm="1">
        <f t="array" ref="P147">SQRT(SUMPRODUCT(--($L$6:$L$300&lt;&gt;1),--($C$6:$C$300=$C147),$E$6:$E$300,$O$6:$O$300)/((N147-1)*SUMPRODUCT(--($L$6:$L$300&lt;&gt;1),--($C$6:$C$300=$C147),$E$6:$E$300)/N147))</f>
        <v>187.73865342151541</v>
      </c>
      <c r="Q147" s="2">
        <f t="shared" si="15"/>
        <v>301.42162685713635</v>
      </c>
      <c r="R147" s="2">
        <f t="shared" si="15"/>
        <v>782.61515726829293</v>
      </c>
      <c r="S147" s="2">
        <f t="shared" si="22"/>
        <v>457.61592593805807</v>
      </c>
    </row>
    <row r="148" spans="2:19" x14ac:dyDescent="0.35">
      <c r="B148">
        <v>510</v>
      </c>
      <c r="C148" s="17">
        <v>7</v>
      </c>
      <c r="D148" s="22" t="s">
        <v>164</v>
      </c>
      <c r="E148" s="90">
        <f>INDEX('Revised 2019 Lockdown'!H$5:H$257,MATCH(B148,'Revised 2019 Lockdown'!B$5:B$257,0))</f>
        <v>507.29892721805413</v>
      </c>
      <c r="F148" s="7">
        <f>INDEX('Revised 2019 Lockdown'!E$5:E$257,MATCH(B148,'Revised 2019 Lockdown'!B$5:B$257,0))</f>
        <v>285919.75</v>
      </c>
      <c r="G148" s="7">
        <f>INDEX('Revised 2019 Lockdown'!F$5:F$257,MATCH(B148,'Revised 2019 Lockdown'!B$5:B$257,0))</f>
        <v>1071</v>
      </c>
      <c r="H148" s="7">
        <f t="shared" si="19"/>
        <v>284848.75</v>
      </c>
      <c r="I148" s="6">
        <f t="shared" si="16"/>
        <v>561.50079315575294</v>
      </c>
      <c r="J148" s="6">
        <f t="shared" si="20"/>
        <v>561.50079315575294</v>
      </c>
      <c r="K148" s="5">
        <f t="shared" si="17"/>
        <v>284848.75</v>
      </c>
      <c r="L148" s="4">
        <f t="shared" si="18"/>
        <v>0</v>
      </c>
      <c r="M148" s="2" cm="1">
        <f t="array" ref="M148">SUMPRODUCT(--($L$6:$L$300&lt;&gt;1),--($C$6:$C$300=$C148),$H$6:$H$300)/SUMPRODUCT(--($L$6:$L$300&lt;&gt;1),--($C$6:$C$300=$C148),$E$6:$E$300)</f>
        <v>542.01839206271461</v>
      </c>
      <c r="N148" s="1" cm="1">
        <f t="array" ref="N148">SUMPRODUCT(--($L$6:$L$300&lt;&gt;1),--($C$6:$C$300=$C148))</f>
        <v>69</v>
      </c>
      <c r="O148" s="3">
        <f t="shared" si="21"/>
        <v>379.56395235002128</v>
      </c>
      <c r="P148" s="2" cm="1">
        <f t="array" ref="P148">SQRT(SUMPRODUCT(--($L$6:$L$300&lt;&gt;1),--($C$6:$C$300=$C148),$E$6:$E$300,$O$6:$O$300)/((N148-1)*SUMPRODUCT(--($L$6:$L$300&lt;&gt;1),--($C$6:$C$300=$C148),$E$6:$E$300)/N148))</f>
        <v>187.73865342151541</v>
      </c>
      <c r="Q148" s="2">
        <f t="shared" si="15"/>
        <v>301.42162685713635</v>
      </c>
      <c r="R148" s="2">
        <f t="shared" si="15"/>
        <v>782.61515726829293</v>
      </c>
      <c r="S148" s="2">
        <f t="shared" si="22"/>
        <v>561.50079315575294</v>
      </c>
    </row>
    <row r="149" spans="2:19" x14ac:dyDescent="0.35">
      <c r="B149">
        <v>531</v>
      </c>
      <c r="C149" s="17">
        <v>7</v>
      </c>
      <c r="D149" s="22" t="s">
        <v>165</v>
      </c>
      <c r="E149" s="90">
        <f>INDEX('Revised 2019 Lockdown'!H$5:H$257,MATCH(B149,'Revised 2019 Lockdown'!B$5:B$257,0))</f>
        <v>1984.57</v>
      </c>
      <c r="F149" s="7">
        <f>INDEX('Revised 2019 Lockdown'!E$5:E$257,MATCH(B149,'Revised 2019 Lockdown'!B$5:B$257,0))</f>
        <v>629818.71</v>
      </c>
      <c r="G149" s="7">
        <f>INDEX('Revised 2019 Lockdown'!F$5:F$257,MATCH(B149,'Revised 2019 Lockdown'!B$5:B$257,0))</f>
        <v>2609.7399999999998</v>
      </c>
      <c r="H149" s="7">
        <f t="shared" si="19"/>
        <v>627208.97</v>
      </c>
      <c r="I149" s="6">
        <f t="shared" si="16"/>
        <v>316.04275485369624</v>
      </c>
      <c r="J149" s="6">
        <f t="shared" si="20"/>
        <v>316.04275485369624</v>
      </c>
      <c r="K149" s="5">
        <f t="shared" si="17"/>
        <v>627208.97</v>
      </c>
      <c r="L149" s="4">
        <f t="shared" si="18"/>
        <v>0</v>
      </c>
      <c r="M149" s="2" cm="1">
        <f t="array" ref="M149">SUMPRODUCT(--($L$6:$L$300&lt;&gt;1),--($C$6:$C$300=$C149),$H$6:$H$300)/SUMPRODUCT(--($L$6:$L$300&lt;&gt;1),--($C$6:$C$300=$C149),$E$6:$E$300)</f>
        <v>542.01839206271461</v>
      </c>
      <c r="N149" s="1" cm="1">
        <f t="array" ref="N149">SUMPRODUCT(--($L$6:$L$300&lt;&gt;1),--($C$6:$C$300=$C149))</f>
        <v>69</v>
      </c>
      <c r="O149" s="3">
        <f t="shared" si="21"/>
        <v>51064.988612021887</v>
      </c>
      <c r="P149" s="2" cm="1">
        <f t="array" ref="P149">SQRT(SUMPRODUCT(--($L$6:$L$300&lt;&gt;1),--($C$6:$C$300=$C149),$E$6:$E$300,$O$6:$O$300)/((N149-1)*SUMPRODUCT(--($L$6:$L$300&lt;&gt;1),--($C$6:$C$300=$C149),$E$6:$E$300)/N149))</f>
        <v>187.73865342151541</v>
      </c>
      <c r="Q149" s="2">
        <f t="shared" si="15"/>
        <v>301.42162685713635</v>
      </c>
      <c r="R149" s="2">
        <f t="shared" si="15"/>
        <v>782.61515726829293</v>
      </c>
      <c r="S149" s="2">
        <f t="shared" si="22"/>
        <v>316.04275485369624</v>
      </c>
    </row>
    <row r="150" spans="2:19" x14ac:dyDescent="0.35">
      <c r="B150">
        <v>551</v>
      </c>
      <c r="C150" s="17">
        <v>7</v>
      </c>
      <c r="D150" s="22" t="s">
        <v>167</v>
      </c>
      <c r="E150" s="90">
        <f>INDEX('Revised 2019 Lockdown'!H$5:H$257,MATCH(B150,'Revised 2019 Lockdown'!B$5:B$257,0))</f>
        <v>153.38752675955698</v>
      </c>
      <c r="F150" s="7">
        <f>INDEX('Revised 2019 Lockdown'!E$5:E$257,MATCH(B150,'Revised 2019 Lockdown'!B$5:B$257,0))</f>
        <v>117853.72</v>
      </c>
      <c r="G150" s="7">
        <f>INDEX('Revised 2019 Lockdown'!F$5:F$257,MATCH(B150,'Revised 2019 Lockdown'!B$5:B$257,0))</f>
        <v>72</v>
      </c>
      <c r="H150" s="7">
        <f t="shared" si="19"/>
        <v>117781.72</v>
      </c>
      <c r="I150" s="6">
        <f t="shared" si="16"/>
        <v>767.87025965044108</v>
      </c>
      <c r="J150" s="6">
        <f t="shared" si="20"/>
        <v>767.87025965044108</v>
      </c>
      <c r="K150" s="5">
        <f t="shared" si="17"/>
        <v>117781.72</v>
      </c>
      <c r="L150" s="4">
        <f t="shared" si="18"/>
        <v>0</v>
      </c>
      <c r="M150" s="2" cm="1">
        <f t="array" ref="M150">SUMPRODUCT(--($L$6:$L$300&lt;&gt;1),--($C$6:$C$300=$C150),$H$6:$H$300)/SUMPRODUCT(--($L$6:$L$300&lt;&gt;1),--($C$6:$C$300=$C150),$E$6:$E$300)</f>
        <v>542.01839206271461</v>
      </c>
      <c r="N150" s="1" cm="1">
        <f t="array" ref="N150">SUMPRODUCT(--($L$6:$L$300&lt;&gt;1),--($C$6:$C$300=$C150))</f>
        <v>69</v>
      </c>
      <c r="O150" s="3">
        <f t="shared" si="21"/>
        <v>51009.066092863934</v>
      </c>
      <c r="P150" s="2" cm="1">
        <f t="array" ref="P150">SQRT(SUMPRODUCT(--($L$6:$L$300&lt;&gt;1),--($C$6:$C$300=$C150),$E$6:$E$300,$O$6:$O$300)/((N150-1)*SUMPRODUCT(--($L$6:$L$300&lt;&gt;1),--($C$6:$C$300=$C150),$E$6:$E$300)/N150))</f>
        <v>187.73865342151541</v>
      </c>
      <c r="Q150" s="2">
        <f t="shared" si="15"/>
        <v>301.42162685713635</v>
      </c>
      <c r="R150" s="2">
        <f t="shared" si="15"/>
        <v>782.61515726829293</v>
      </c>
      <c r="S150" s="2">
        <f t="shared" si="22"/>
        <v>767.87025965044108</v>
      </c>
    </row>
    <row r="151" spans="2:19" x14ac:dyDescent="0.35">
      <c r="B151">
        <v>555</v>
      </c>
      <c r="C151" s="17">
        <v>7</v>
      </c>
      <c r="D151" s="22" t="s">
        <v>168</v>
      </c>
      <c r="E151" s="90">
        <f>INDEX('Revised 2019 Lockdown'!H$5:H$257,MATCH(B151,'Revised 2019 Lockdown'!B$5:B$257,0))</f>
        <v>517.66739217631118</v>
      </c>
      <c r="F151" s="7">
        <f>INDEX('Revised 2019 Lockdown'!E$5:E$257,MATCH(B151,'Revised 2019 Lockdown'!B$5:B$257,0))</f>
        <v>492608.68</v>
      </c>
      <c r="G151" s="7">
        <f>INDEX('Revised 2019 Lockdown'!F$5:F$257,MATCH(B151,'Revised 2019 Lockdown'!B$5:B$257,0))</f>
        <v>497.7</v>
      </c>
      <c r="H151" s="7">
        <f t="shared" si="19"/>
        <v>492110.98</v>
      </c>
      <c r="I151" s="6">
        <f t="shared" si="16"/>
        <v>950.63159750342743</v>
      </c>
      <c r="J151" s="6">
        <f t="shared" si="20"/>
        <v>782.61515726829293</v>
      </c>
      <c r="K151" s="5">
        <f t="shared" si="17"/>
        <v>405134.34754073084</v>
      </c>
      <c r="L151" s="4">
        <f t="shared" si="18"/>
        <v>0</v>
      </c>
      <c r="M151" s="2" cm="1">
        <f t="array" ref="M151">SUMPRODUCT(--($L$6:$L$300&lt;&gt;1),--($C$6:$C$300=$C151),$H$6:$H$300)/SUMPRODUCT(--($L$6:$L$300&lt;&gt;1),--($C$6:$C$300=$C151),$E$6:$E$300)</f>
        <v>542.01839206271461</v>
      </c>
      <c r="N151" s="1" cm="1">
        <f t="array" ref="N151">SUMPRODUCT(--($L$6:$L$300&lt;&gt;1),--($C$6:$C$300=$C151))</f>
        <v>69</v>
      </c>
      <c r="O151" s="3">
        <f t="shared" si="21"/>
        <v>166964.75166053418</v>
      </c>
      <c r="P151" s="2" cm="1">
        <f t="array" ref="P151">SQRT(SUMPRODUCT(--($L$6:$L$300&lt;&gt;1),--($C$6:$C$300=$C151),$E$6:$E$300,$O$6:$O$300)/((N151-1)*SUMPRODUCT(--($L$6:$L$300&lt;&gt;1),--($C$6:$C$300=$C151),$E$6:$E$300)/N151))</f>
        <v>187.73865342151541</v>
      </c>
      <c r="Q151" s="2">
        <f t="shared" si="15"/>
        <v>301.42162685713635</v>
      </c>
      <c r="R151" s="2">
        <f t="shared" si="15"/>
        <v>782.61515726829293</v>
      </c>
      <c r="S151" s="2">
        <f t="shared" si="22"/>
        <v>782.61515726829293</v>
      </c>
    </row>
    <row r="152" spans="2:19" x14ac:dyDescent="0.35">
      <c r="B152">
        <v>556</v>
      </c>
      <c r="C152" s="17">
        <v>7</v>
      </c>
      <c r="D152" s="22" t="s">
        <v>169</v>
      </c>
      <c r="E152" s="90">
        <f>INDEX('Revised 2019 Lockdown'!H$5:H$257,MATCH(B152,'Revised 2019 Lockdown'!B$5:B$257,0))</f>
        <v>429.57419276527332</v>
      </c>
      <c r="F152" s="7">
        <f>INDEX('Revised 2019 Lockdown'!E$5:E$257,MATCH(B152,'Revised 2019 Lockdown'!B$5:B$257,0))</f>
        <v>251644.37</v>
      </c>
      <c r="G152" s="7">
        <f>INDEX('Revised 2019 Lockdown'!F$5:F$257,MATCH(B152,'Revised 2019 Lockdown'!B$5:B$257,0))</f>
        <v>73939.33</v>
      </c>
      <c r="H152" s="7">
        <f t="shared" si="19"/>
        <v>177705.03999999998</v>
      </c>
      <c r="I152" s="6">
        <f t="shared" si="16"/>
        <v>413.67717845448192</v>
      </c>
      <c r="J152" s="6">
        <f t="shared" si="20"/>
        <v>413.67717845448192</v>
      </c>
      <c r="K152" s="5">
        <f t="shared" si="17"/>
        <v>177705.03999999998</v>
      </c>
      <c r="L152" s="4">
        <f t="shared" si="18"/>
        <v>0</v>
      </c>
      <c r="M152" s="2" cm="1">
        <f t="array" ref="M152">SUMPRODUCT(--($L$6:$L$300&lt;&gt;1),--($C$6:$C$300=$C152),$H$6:$H$300)/SUMPRODUCT(--($L$6:$L$300&lt;&gt;1),--($C$6:$C$300=$C152),$E$6:$E$300)</f>
        <v>542.01839206271461</v>
      </c>
      <c r="N152" s="1" cm="1">
        <f t="array" ref="N152">SUMPRODUCT(--($L$6:$L$300&lt;&gt;1),--($C$6:$C$300=$C152))</f>
        <v>69</v>
      </c>
      <c r="O152" s="3">
        <f t="shared" si="21"/>
        <v>16471.467110434012</v>
      </c>
      <c r="P152" s="2" cm="1">
        <f t="array" ref="P152">SQRT(SUMPRODUCT(--($L$6:$L$300&lt;&gt;1),--($C$6:$C$300=$C152),$E$6:$E$300,$O$6:$O$300)/((N152-1)*SUMPRODUCT(--($L$6:$L$300&lt;&gt;1),--($C$6:$C$300=$C152),$E$6:$E$300)/N152))</f>
        <v>187.73865342151541</v>
      </c>
      <c r="Q152" s="2">
        <f t="shared" si="15"/>
        <v>301.42162685713635</v>
      </c>
      <c r="R152" s="2">
        <f t="shared" si="15"/>
        <v>782.61515726829293</v>
      </c>
      <c r="S152" s="2">
        <f t="shared" si="22"/>
        <v>413.67717845448192</v>
      </c>
    </row>
    <row r="153" spans="2:19" x14ac:dyDescent="0.35">
      <c r="B153">
        <v>558</v>
      </c>
      <c r="C153" s="17">
        <v>7</v>
      </c>
      <c r="D153" s="22" t="s">
        <v>170</v>
      </c>
      <c r="E153" s="90">
        <f>INDEX('Revised 2019 Lockdown'!H$5:H$257,MATCH(B153,'Revised 2019 Lockdown'!B$5:B$257,0))</f>
        <v>390.35157563140439</v>
      </c>
      <c r="F153" s="7">
        <f>INDEX('Revised 2019 Lockdown'!E$5:E$257,MATCH(B153,'Revised 2019 Lockdown'!B$5:B$257,0))</f>
        <v>237481.28</v>
      </c>
      <c r="G153" s="7">
        <f>INDEX('Revised 2019 Lockdown'!F$5:F$257,MATCH(B153,'Revised 2019 Lockdown'!B$5:B$257,0))</f>
        <v>9049.75</v>
      </c>
      <c r="H153" s="7">
        <f t="shared" si="19"/>
        <v>228431.53</v>
      </c>
      <c r="I153" s="6">
        <f t="shared" si="16"/>
        <v>585.19433316108882</v>
      </c>
      <c r="J153" s="6">
        <f t="shared" si="20"/>
        <v>585.19433316108882</v>
      </c>
      <c r="K153" s="5">
        <f t="shared" si="17"/>
        <v>228431.53000000003</v>
      </c>
      <c r="L153" s="4">
        <f t="shared" si="18"/>
        <v>0</v>
      </c>
      <c r="M153" s="2" cm="1">
        <f t="array" ref="M153">SUMPRODUCT(--($L$6:$L$300&lt;&gt;1),--($C$6:$C$300=$C153),$H$6:$H$300)/SUMPRODUCT(--($L$6:$L$300&lt;&gt;1),--($C$6:$C$300=$C153),$E$6:$E$300)</f>
        <v>542.01839206271461</v>
      </c>
      <c r="N153" s="1" cm="1">
        <f t="array" ref="N153">SUMPRODUCT(--($L$6:$L$300&lt;&gt;1),--($C$6:$C$300=$C153))</f>
        <v>69</v>
      </c>
      <c r="O153" s="3">
        <f t="shared" si="21"/>
        <v>1864.1618897302792</v>
      </c>
      <c r="P153" s="2" cm="1">
        <f t="array" ref="P153">SQRT(SUMPRODUCT(--($L$6:$L$300&lt;&gt;1),--($C$6:$C$300=$C153),$E$6:$E$300,$O$6:$O$300)/((N153-1)*SUMPRODUCT(--($L$6:$L$300&lt;&gt;1),--($C$6:$C$300=$C153),$E$6:$E$300)/N153))</f>
        <v>187.73865342151541</v>
      </c>
      <c r="Q153" s="2">
        <f t="shared" si="15"/>
        <v>301.42162685713635</v>
      </c>
      <c r="R153" s="2">
        <f t="shared" si="15"/>
        <v>782.61515726829293</v>
      </c>
      <c r="S153" s="2">
        <f t="shared" si="22"/>
        <v>585.19433316108882</v>
      </c>
    </row>
    <row r="154" spans="2:19" x14ac:dyDescent="0.35">
      <c r="B154">
        <v>600</v>
      </c>
      <c r="C154" s="17">
        <v>7</v>
      </c>
      <c r="D154" s="22" t="s">
        <v>171</v>
      </c>
      <c r="E154" s="90">
        <f>INDEX('Revised 2019 Lockdown'!H$5:H$257,MATCH(B154,'Revised 2019 Lockdown'!B$5:B$257,0))</f>
        <v>754.93</v>
      </c>
      <c r="F154" s="7">
        <f>INDEX('Revised 2019 Lockdown'!E$5:E$257,MATCH(B154,'Revised 2019 Lockdown'!B$5:B$257,0))</f>
        <v>289349.82</v>
      </c>
      <c r="G154" s="7">
        <f>INDEX('Revised 2019 Lockdown'!F$5:F$257,MATCH(B154,'Revised 2019 Lockdown'!B$5:B$257,0))</f>
        <v>0</v>
      </c>
      <c r="H154" s="7">
        <f t="shared" si="19"/>
        <v>289349.82</v>
      </c>
      <c r="I154" s="6">
        <f t="shared" si="16"/>
        <v>383.28033062668067</v>
      </c>
      <c r="J154" s="6">
        <f t="shared" si="20"/>
        <v>383.28033062668067</v>
      </c>
      <c r="K154" s="5">
        <f t="shared" si="17"/>
        <v>289349.82</v>
      </c>
      <c r="L154" s="4">
        <f t="shared" si="18"/>
        <v>0</v>
      </c>
      <c r="M154" s="2" cm="1">
        <f t="array" ref="M154">SUMPRODUCT(--($L$6:$L$300&lt;&gt;1),--($C$6:$C$300=$C154),$H$6:$H$300)/SUMPRODUCT(--($L$6:$L$300&lt;&gt;1),--($C$6:$C$300=$C154),$E$6:$E$300)</f>
        <v>542.01839206271461</v>
      </c>
      <c r="N154" s="1" cm="1">
        <f t="array" ref="N154">SUMPRODUCT(--($L$6:$L$300&lt;&gt;1),--($C$6:$C$300=$C154))</f>
        <v>69</v>
      </c>
      <c r="O154" s="3">
        <f t="shared" si="21"/>
        <v>25197.772148470089</v>
      </c>
      <c r="P154" s="2" cm="1">
        <f t="array" ref="P154">SQRT(SUMPRODUCT(--($L$6:$L$300&lt;&gt;1),--($C$6:$C$300=$C154),$E$6:$E$300,$O$6:$O$300)/((N154-1)*SUMPRODUCT(--($L$6:$L$300&lt;&gt;1),--($C$6:$C$300=$C154),$E$6:$E$300)/N154))</f>
        <v>187.73865342151541</v>
      </c>
      <c r="Q154" s="2">
        <f t="shared" si="15"/>
        <v>301.42162685713635</v>
      </c>
      <c r="R154" s="2">
        <f t="shared" si="15"/>
        <v>782.61515726829293</v>
      </c>
      <c r="S154" s="2">
        <f t="shared" si="22"/>
        <v>383.28033062668067</v>
      </c>
    </row>
    <row r="155" spans="2:19" x14ac:dyDescent="0.35">
      <c r="B155">
        <v>604</v>
      </c>
      <c r="C155" s="17">
        <v>7</v>
      </c>
      <c r="D155" s="22" t="s">
        <v>172</v>
      </c>
      <c r="E155" s="90">
        <f>INDEX('Revised 2019 Lockdown'!H$5:H$257,MATCH(B155,'Revised 2019 Lockdown'!B$5:B$257,0))</f>
        <v>515.30042961563572</v>
      </c>
      <c r="F155" s="7">
        <f>INDEX('Revised 2019 Lockdown'!E$5:E$257,MATCH(B155,'Revised 2019 Lockdown'!B$5:B$257,0))</f>
        <v>227300.68</v>
      </c>
      <c r="G155" s="7">
        <f>INDEX('Revised 2019 Lockdown'!F$5:F$257,MATCH(B155,'Revised 2019 Lockdown'!B$5:B$257,0))</f>
        <v>4684.6499999999996</v>
      </c>
      <c r="H155" s="7">
        <f t="shared" si="19"/>
        <v>222616.03</v>
      </c>
      <c r="I155" s="6">
        <f t="shared" si="16"/>
        <v>432.01211799114941</v>
      </c>
      <c r="J155" s="6">
        <f t="shared" si="20"/>
        <v>432.01211799114941</v>
      </c>
      <c r="K155" s="5">
        <f t="shared" si="17"/>
        <v>222616.03</v>
      </c>
      <c r="L155" s="4">
        <f t="shared" si="18"/>
        <v>0</v>
      </c>
      <c r="M155" s="2" cm="1">
        <f t="array" ref="M155">SUMPRODUCT(--($L$6:$L$300&lt;&gt;1),--($C$6:$C$300=$C155),$H$6:$H$300)/SUMPRODUCT(--($L$6:$L$300&lt;&gt;1),--($C$6:$C$300=$C155),$E$6:$E$300)</f>
        <v>542.01839206271461</v>
      </c>
      <c r="N155" s="1" cm="1">
        <f t="array" ref="N155">SUMPRODUCT(--($L$6:$L$300&lt;&gt;1),--($C$6:$C$300=$C155))</f>
        <v>69</v>
      </c>
      <c r="O155" s="3">
        <f t="shared" si="21"/>
        <v>12101.380335108319</v>
      </c>
      <c r="P155" s="2" cm="1">
        <f t="array" ref="P155">SQRT(SUMPRODUCT(--($L$6:$L$300&lt;&gt;1),--($C$6:$C$300=$C155),$E$6:$E$300,$O$6:$O$300)/((N155-1)*SUMPRODUCT(--($L$6:$L$300&lt;&gt;1),--($C$6:$C$300=$C155),$E$6:$E$300)/N155))</f>
        <v>187.73865342151541</v>
      </c>
      <c r="Q155" s="2">
        <f t="shared" si="15"/>
        <v>301.42162685713635</v>
      </c>
      <c r="R155" s="2">
        <f t="shared" si="15"/>
        <v>782.61515726829293</v>
      </c>
      <c r="S155" s="2">
        <f t="shared" si="22"/>
        <v>432.01211799114941</v>
      </c>
    </row>
    <row r="156" spans="2:19" x14ac:dyDescent="0.35">
      <c r="B156">
        <v>612</v>
      </c>
      <c r="C156" s="17">
        <v>7</v>
      </c>
      <c r="D156" s="22" t="s">
        <v>173</v>
      </c>
      <c r="E156" s="90">
        <f>INDEX('Revised 2019 Lockdown'!H$5:H$257,MATCH(B156,'Revised 2019 Lockdown'!B$5:B$257,0))</f>
        <v>465.4674142756993</v>
      </c>
      <c r="F156" s="7">
        <f>INDEX('Revised 2019 Lockdown'!E$5:E$257,MATCH(B156,'Revised 2019 Lockdown'!B$5:B$257,0))</f>
        <v>309970.14</v>
      </c>
      <c r="G156" s="7">
        <f>INDEX('Revised 2019 Lockdown'!F$5:F$257,MATCH(B156,'Revised 2019 Lockdown'!B$5:B$257,0))</f>
        <v>6701.21</v>
      </c>
      <c r="H156" s="7">
        <f t="shared" si="19"/>
        <v>303268.93</v>
      </c>
      <c r="I156" s="6">
        <f t="shared" si="16"/>
        <v>651.53632821302483</v>
      </c>
      <c r="J156" s="6">
        <f t="shared" si="20"/>
        <v>651.53632821302483</v>
      </c>
      <c r="K156" s="5">
        <f t="shared" si="17"/>
        <v>303268.93</v>
      </c>
      <c r="L156" s="4">
        <f t="shared" si="18"/>
        <v>0</v>
      </c>
      <c r="M156" s="2" cm="1">
        <f t="array" ref="M156">SUMPRODUCT(--($L$6:$L$300&lt;&gt;1),--($C$6:$C$300=$C156),$H$6:$H$300)/SUMPRODUCT(--($L$6:$L$300&lt;&gt;1),--($C$6:$C$300=$C156),$E$6:$E$300)</f>
        <v>542.01839206271461</v>
      </c>
      <c r="N156" s="1" cm="1">
        <f t="array" ref="N156">SUMPRODUCT(--($L$6:$L$300&lt;&gt;1),--($C$6:$C$300=$C156))</f>
        <v>69</v>
      </c>
      <c r="O156" s="3">
        <f t="shared" si="21"/>
        <v>11994.178338623426</v>
      </c>
      <c r="P156" s="2" cm="1">
        <f t="array" ref="P156">SQRT(SUMPRODUCT(--($L$6:$L$300&lt;&gt;1),--($C$6:$C$300=$C156),$E$6:$E$300,$O$6:$O$300)/((N156-1)*SUMPRODUCT(--($L$6:$L$300&lt;&gt;1),--($C$6:$C$300=$C156),$E$6:$E$300)/N156))</f>
        <v>187.73865342151541</v>
      </c>
      <c r="Q156" s="2">
        <f t="shared" si="15"/>
        <v>301.42162685713635</v>
      </c>
      <c r="R156" s="2">
        <f t="shared" si="15"/>
        <v>782.61515726829293</v>
      </c>
      <c r="S156" s="2">
        <f t="shared" si="22"/>
        <v>651.53632821302483</v>
      </c>
    </row>
    <row r="157" spans="2:19" x14ac:dyDescent="0.35">
      <c r="B157">
        <v>635</v>
      </c>
      <c r="C157" s="17">
        <v>7</v>
      </c>
      <c r="D157" s="22" t="s">
        <v>174</v>
      </c>
      <c r="E157" s="90">
        <f>INDEX('Revised 2019 Lockdown'!H$5:H$257,MATCH(B157,'Revised 2019 Lockdown'!B$5:B$257,0))</f>
        <v>58.100000000000016</v>
      </c>
      <c r="F157" s="7">
        <f>INDEX('Revised 2019 Lockdown'!E$5:E$257,MATCH(B157,'Revised 2019 Lockdown'!B$5:B$257,0))</f>
        <v>38338.959999999999</v>
      </c>
      <c r="G157" s="7">
        <f>INDEX('Revised 2019 Lockdown'!F$5:F$257,MATCH(B157,'Revised 2019 Lockdown'!B$5:B$257,0))</f>
        <v>0</v>
      </c>
      <c r="H157" s="7">
        <f t="shared" si="19"/>
        <v>38338.959999999999</v>
      </c>
      <c r="I157" s="6">
        <f t="shared" si="16"/>
        <v>659.8788296041306</v>
      </c>
      <c r="J157" s="6">
        <f t="shared" si="20"/>
        <v>659.8788296041306</v>
      </c>
      <c r="K157" s="5">
        <f t="shared" si="17"/>
        <v>38338.959999999999</v>
      </c>
      <c r="L157" s="4">
        <f t="shared" si="18"/>
        <v>0</v>
      </c>
      <c r="M157" s="2" cm="1">
        <f t="array" ref="M157">SUMPRODUCT(--($L$6:$L$300&lt;&gt;1),--($C$6:$C$300=$C157),$H$6:$H$300)/SUMPRODUCT(--($L$6:$L$300&lt;&gt;1),--($C$6:$C$300=$C157),$E$6:$E$300)</f>
        <v>542.01839206271461</v>
      </c>
      <c r="N157" s="1" cm="1">
        <f t="array" ref="N157">SUMPRODUCT(--($L$6:$L$300&lt;&gt;1),--($C$6:$C$300=$C157))</f>
        <v>69</v>
      </c>
      <c r="O157" s="3">
        <f t="shared" si="21"/>
        <v>13891.08273745402</v>
      </c>
      <c r="P157" s="2" cm="1">
        <f t="array" ref="P157">SQRT(SUMPRODUCT(--($L$6:$L$300&lt;&gt;1),--($C$6:$C$300=$C157),$E$6:$E$300,$O$6:$O$300)/((N157-1)*SUMPRODUCT(--($L$6:$L$300&lt;&gt;1),--($C$6:$C$300=$C157),$E$6:$E$300)/N157))</f>
        <v>187.73865342151541</v>
      </c>
      <c r="Q157" s="2">
        <f t="shared" si="15"/>
        <v>301.42162685713635</v>
      </c>
      <c r="R157" s="2">
        <f t="shared" si="15"/>
        <v>782.61515726829293</v>
      </c>
      <c r="S157" s="2">
        <f t="shared" si="22"/>
        <v>659.8788296041306</v>
      </c>
    </row>
    <row r="158" spans="2:19" x14ac:dyDescent="0.35">
      <c r="B158">
        <v>642</v>
      </c>
      <c r="C158" s="17">
        <v>7</v>
      </c>
      <c r="D158" s="22" t="s">
        <v>175</v>
      </c>
      <c r="E158" s="90">
        <f>INDEX('Revised 2019 Lockdown'!H$5:H$257,MATCH(B158,'Revised 2019 Lockdown'!B$5:B$257,0))</f>
        <v>131.41386363582231</v>
      </c>
      <c r="F158" s="7">
        <f>INDEX('Revised 2019 Lockdown'!E$5:E$257,MATCH(B158,'Revised 2019 Lockdown'!B$5:B$257,0))</f>
        <v>68196.52</v>
      </c>
      <c r="G158" s="7">
        <f>INDEX('Revised 2019 Lockdown'!F$5:F$257,MATCH(B158,'Revised 2019 Lockdown'!B$5:B$257,0))</f>
        <v>0</v>
      </c>
      <c r="H158" s="7">
        <f t="shared" si="19"/>
        <v>68196.52</v>
      </c>
      <c r="I158" s="6">
        <f t="shared" si="16"/>
        <v>518.94463881670856</v>
      </c>
      <c r="J158" s="6">
        <f t="shared" si="20"/>
        <v>518.94463881670856</v>
      </c>
      <c r="K158" s="5">
        <f t="shared" si="17"/>
        <v>68196.52</v>
      </c>
      <c r="L158" s="4">
        <f t="shared" si="18"/>
        <v>0</v>
      </c>
      <c r="M158" s="2" cm="1">
        <f t="array" ref="M158">SUMPRODUCT(--($L$6:$L$300&lt;&gt;1),--($C$6:$C$300=$C158),$H$6:$H$300)/SUMPRODUCT(--($L$6:$L$300&lt;&gt;1),--($C$6:$C$300=$C158),$E$6:$E$300)</f>
        <v>542.01839206271461</v>
      </c>
      <c r="N158" s="1" cm="1">
        <f t="array" ref="N158">SUMPRODUCT(--($L$6:$L$300&lt;&gt;1),--($C$6:$C$300=$C158))</f>
        <v>69</v>
      </c>
      <c r="O158" s="3">
        <f t="shared" si="21"/>
        <v>532.39808885757475</v>
      </c>
      <c r="P158" s="2" cm="1">
        <f t="array" ref="P158">SQRT(SUMPRODUCT(--($L$6:$L$300&lt;&gt;1),--($C$6:$C$300=$C158),$E$6:$E$300,$O$6:$O$300)/((N158-1)*SUMPRODUCT(--($L$6:$L$300&lt;&gt;1),--($C$6:$C$300=$C158),$E$6:$E$300)/N158))</f>
        <v>187.73865342151541</v>
      </c>
      <c r="Q158" s="2">
        <f t="shared" si="15"/>
        <v>301.42162685713635</v>
      </c>
      <c r="R158" s="2">
        <f t="shared" si="15"/>
        <v>782.61515726829293</v>
      </c>
      <c r="S158" s="2">
        <f t="shared" si="22"/>
        <v>518.94463881670856</v>
      </c>
    </row>
    <row r="159" spans="2:19" x14ac:dyDescent="0.35">
      <c r="B159">
        <v>643</v>
      </c>
      <c r="C159" s="17">
        <v>7</v>
      </c>
      <c r="D159" s="22" t="s">
        <v>176</v>
      </c>
      <c r="E159" s="90">
        <f>INDEX('Revised 2019 Lockdown'!H$5:H$257,MATCH(B159,'Revised 2019 Lockdown'!B$5:B$257,0))</f>
        <v>8.1079758961533877</v>
      </c>
      <c r="F159" s="7">
        <f>INDEX('Revised 2019 Lockdown'!E$5:E$257,MATCH(B159,'Revised 2019 Lockdown'!B$5:B$257,0))</f>
        <v>25324.71</v>
      </c>
      <c r="G159" s="7">
        <f>INDEX('Revised 2019 Lockdown'!F$5:F$257,MATCH(B159,'Revised 2019 Lockdown'!B$5:B$257,0))</f>
        <v>0</v>
      </c>
      <c r="H159" s="7">
        <f t="shared" si="19"/>
        <v>25324.71</v>
      </c>
      <c r="I159" s="6">
        <f t="shared" si="16"/>
        <v>3123.4318311200986</v>
      </c>
      <c r="J159" s="6">
        <f t="shared" si="20"/>
        <v>782.61515726829293</v>
      </c>
      <c r="K159" s="5">
        <f t="shared" si="17"/>
        <v>6345.4248310956118</v>
      </c>
      <c r="L159" s="4">
        <f t="shared" si="18"/>
        <v>0</v>
      </c>
      <c r="M159" s="2" cm="1">
        <f t="array" ref="M159">SUMPRODUCT(--($L$6:$L$300&lt;&gt;1),--($C$6:$C$300=$C159),$H$6:$H$300)/SUMPRODUCT(--($L$6:$L$300&lt;&gt;1),--($C$6:$C$300=$C159),$E$6:$E$300)</f>
        <v>542.01839206271461</v>
      </c>
      <c r="N159" s="1" cm="1">
        <f t="array" ref="N159">SUMPRODUCT(--($L$6:$L$300&lt;&gt;1),--($C$6:$C$300=$C159))</f>
        <v>69</v>
      </c>
      <c r="O159" s="3">
        <f t="shared" si="21"/>
        <v>6663695.3433460705</v>
      </c>
      <c r="P159" s="2" cm="1">
        <f t="array" ref="P159">SQRT(SUMPRODUCT(--($L$6:$L$300&lt;&gt;1),--($C$6:$C$300=$C159),$E$6:$E$300,$O$6:$O$300)/((N159-1)*SUMPRODUCT(--($L$6:$L$300&lt;&gt;1),--($C$6:$C$300=$C159),$E$6:$E$300)/N159))</f>
        <v>187.73865342151541</v>
      </c>
      <c r="Q159" s="2">
        <f t="shared" si="15"/>
        <v>301.42162685713635</v>
      </c>
      <c r="R159" s="2">
        <f t="shared" si="15"/>
        <v>782.61515726829293</v>
      </c>
      <c r="S159" s="2">
        <f t="shared" si="22"/>
        <v>782.61515726829293</v>
      </c>
    </row>
    <row r="160" spans="2:19" x14ac:dyDescent="0.35">
      <c r="B160">
        <v>711</v>
      </c>
      <c r="C160" s="17">
        <v>7</v>
      </c>
      <c r="D160" s="22" t="s">
        <v>177</v>
      </c>
      <c r="E160" s="90">
        <f>INDEX('Revised 2019 Lockdown'!H$5:H$257,MATCH(B160,'Revised 2019 Lockdown'!B$5:B$257,0))</f>
        <v>456.7</v>
      </c>
      <c r="F160" s="7">
        <f>INDEX('Revised 2019 Lockdown'!E$5:E$257,MATCH(B160,'Revised 2019 Lockdown'!B$5:B$257,0))</f>
        <v>239906.51</v>
      </c>
      <c r="G160" s="7">
        <f>INDEX('Revised 2019 Lockdown'!F$5:F$257,MATCH(B160,'Revised 2019 Lockdown'!B$5:B$257,0))</f>
        <v>6079.57</v>
      </c>
      <c r="H160" s="7">
        <f t="shared" si="19"/>
        <v>233826.94</v>
      </c>
      <c r="I160" s="6">
        <f t="shared" si="16"/>
        <v>511.99242391066349</v>
      </c>
      <c r="J160" s="6">
        <f t="shared" si="20"/>
        <v>511.99242391066349</v>
      </c>
      <c r="K160" s="5">
        <f t="shared" si="17"/>
        <v>233826.94</v>
      </c>
      <c r="L160" s="4">
        <f t="shared" si="18"/>
        <v>0</v>
      </c>
      <c r="M160" s="2" cm="1">
        <f t="array" ref="M160">SUMPRODUCT(--($L$6:$L$300&lt;&gt;1),--($C$6:$C$300=$C160),$H$6:$H$300)/SUMPRODUCT(--($L$6:$L$300&lt;&gt;1),--($C$6:$C$300=$C160),$E$6:$E$300)</f>
        <v>542.01839206271461</v>
      </c>
      <c r="N160" s="1" cm="1">
        <f t="array" ref="N160">SUMPRODUCT(--($L$6:$L$300&lt;&gt;1),--($C$6:$C$300=$C160))</f>
        <v>69</v>
      </c>
      <c r="O160" s="3">
        <f t="shared" si="21"/>
        <v>901.55876346798823</v>
      </c>
      <c r="P160" s="2" cm="1">
        <f t="array" ref="P160">SQRT(SUMPRODUCT(--($L$6:$L$300&lt;&gt;1),--($C$6:$C$300=$C160),$E$6:$E$300,$O$6:$O$300)/((N160-1)*SUMPRODUCT(--($L$6:$L$300&lt;&gt;1),--($C$6:$C$300=$C160),$E$6:$E$300)/N160))</f>
        <v>187.73865342151541</v>
      </c>
      <c r="Q160" s="2">
        <f t="shared" si="15"/>
        <v>301.42162685713635</v>
      </c>
      <c r="R160" s="2">
        <f t="shared" si="15"/>
        <v>782.61515726829293</v>
      </c>
      <c r="S160" s="2">
        <f t="shared" si="22"/>
        <v>511.99242391066349</v>
      </c>
    </row>
    <row r="161" spans="2:19" x14ac:dyDescent="0.35">
      <c r="B161">
        <v>712</v>
      </c>
      <c r="C161" s="17">
        <v>7</v>
      </c>
      <c r="D161" s="22" t="s">
        <v>178</v>
      </c>
      <c r="E161" s="90">
        <f>INDEX('Revised 2019 Lockdown'!H$5:H$257,MATCH(B161,'Revised 2019 Lockdown'!B$5:B$257,0))</f>
        <v>732.75000000000011</v>
      </c>
      <c r="F161" s="7">
        <f>INDEX('Revised 2019 Lockdown'!E$5:E$257,MATCH(B161,'Revised 2019 Lockdown'!B$5:B$257,0))</f>
        <v>294954.17</v>
      </c>
      <c r="G161" s="7">
        <f>INDEX('Revised 2019 Lockdown'!F$5:F$257,MATCH(B161,'Revised 2019 Lockdown'!B$5:B$257,0))</f>
        <v>0</v>
      </c>
      <c r="H161" s="7">
        <f t="shared" si="19"/>
        <v>294954.17</v>
      </c>
      <c r="I161" s="6">
        <f t="shared" si="16"/>
        <v>402.53042647560551</v>
      </c>
      <c r="J161" s="6">
        <f t="shared" si="20"/>
        <v>402.53042647560551</v>
      </c>
      <c r="K161" s="5">
        <f t="shared" si="17"/>
        <v>294954.17</v>
      </c>
      <c r="L161" s="4">
        <f t="shared" si="18"/>
        <v>0</v>
      </c>
      <c r="M161" s="2" cm="1">
        <f t="array" ref="M161">SUMPRODUCT(--($L$6:$L$300&lt;&gt;1),--($C$6:$C$300=$C161),$H$6:$H$300)/SUMPRODUCT(--($L$6:$L$300&lt;&gt;1),--($C$6:$C$300=$C161),$E$6:$E$300)</f>
        <v>542.01839206271461</v>
      </c>
      <c r="N161" s="1" cm="1">
        <f t="array" ref="N161">SUMPRODUCT(--($L$6:$L$300&lt;&gt;1),--($C$6:$C$300=$C161))</f>
        <v>69</v>
      </c>
      <c r="O161" s="3">
        <f t="shared" si="21"/>
        <v>19456.892543630533</v>
      </c>
      <c r="P161" s="2" cm="1">
        <f t="array" ref="P161">SQRT(SUMPRODUCT(--($L$6:$L$300&lt;&gt;1),--($C$6:$C$300=$C161),$E$6:$E$300,$O$6:$O$300)/((N161-1)*SUMPRODUCT(--($L$6:$L$300&lt;&gt;1),--($C$6:$C$300=$C161),$E$6:$E$300)/N161))</f>
        <v>187.73865342151541</v>
      </c>
      <c r="Q161" s="2">
        <f t="shared" si="15"/>
        <v>301.42162685713635</v>
      </c>
      <c r="R161" s="2">
        <f t="shared" si="15"/>
        <v>782.61515726829293</v>
      </c>
      <c r="S161" s="2">
        <f t="shared" si="22"/>
        <v>402.53042647560551</v>
      </c>
    </row>
    <row r="162" spans="2:19" x14ac:dyDescent="0.35">
      <c r="B162">
        <v>718</v>
      </c>
      <c r="C162" s="17">
        <v>7</v>
      </c>
      <c r="D162" s="22" t="s">
        <v>179</v>
      </c>
      <c r="E162" s="90">
        <f>INDEX('Revised 2019 Lockdown'!H$5:H$257,MATCH(B162,'Revised 2019 Lockdown'!B$5:B$257,0))</f>
        <v>33.193832100901929</v>
      </c>
      <c r="F162" s="7">
        <f>INDEX('Revised 2019 Lockdown'!E$5:E$257,MATCH(B162,'Revised 2019 Lockdown'!B$5:B$257,0))</f>
        <v>24351.48</v>
      </c>
      <c r="G162" s="7">
        <f>INDEX('Revised 2019 Lockdown'!F$5:F$257,MATCH(B162,'Revised 2019 Lockdown'!B$5:B$257,0))</f>
        <v>0</v>
      </c>
      <c r="H162" s="7">
        <f t="shared" si="19"/>
        <v>24351.48</v>
      </c>
      <c r="I162" s="6">
        <f t="shared" si="16"/>
        <v>733.61460424264578</v>
      </c>
      <c r="J162" s="6">
        <f t="shared" si="20"/>
        <v>733.61460424264578</v>
      </c>
      <c r="K162" s="5">
        <f t="shared" si="17"/>
        <v>24351.48</v>
      </c>
      <c r="L162" s="4">
        <f t="shared" si="18"/>
        <v>0</v>
      </c>
      <c r="M162" s="2" cm="1">
        <f t="array" ref="M162">SUMPRODUCT(--($L$6:$L$300&lt;&gt;1),--($C$6:$C$300=$C162),$H$6:$H$300)/SUMPRODUCT(--($L$6:$L$300&lt;&gt;1),--($C$6:$C$300=$C162),$E$6:$E$300)</f>
        <v>542.01839206271461</v>
      </c>
      <c r="N162" s="1" cm="1">
        <f t="array" ref="N162">SUMPRODUCT(--($L$6:$L$300&lt;&gt;1),--($C$6:$C$300=$C162))</f>
        <v>69</v>
      </c>
      <c r="O162" s="3">
        <f t="shared" si="21"/>
        <v>36709.108521697206</v>
      </c>
      <c r="P162" s="2" cm="1">
        <f t="array" ref="P162">SQRT(SUMPRODUCT(--($L$6:$L$300&lt;&gt;1),--($C$6:$C$300=$C162),$E$6:$E$300,$O$6:$O$300)/((N162-1)*SUMPRODUCT(--($L$6:$L$300&lt;&gt;1),--($C$6:$C$300=$C162),$E$6:$E$300)/N162))</f>
        <v>187.73865342151541</v>
      </c>
      <c r="Q162" s="2">
        <f t="shared" si="15"/>
        <v>301.42162685713635</v>
      </c>
      <c r="R162" s="2">
        <f t="shared" si="15"/>
        <v>782.61515726829293</v>
      </c>
      <c r="S162" s="2">
        <f t="shared" si="22"/>
        <v>733.61460424264578</v>
      </c>
    </row>
    <row r="163" spans="2:19" x14ac:dyDescent="0.35">
      <c r="B163">
        <v>736</v>
      </c>
      <c r="C163" s="17">
        <v>7</v>
      </c>
      <c r="D163" s="22" t="s">
        <v>180</v>
      </c>
      <c r="E163" s="90">
        <f>INDEX('Revised 2019 Lockdown'!H$5:H$257,MATCH(B163,'Revised 2019 Lockdown'!B$5:B$257,0))</f>
        <v>122.59818725735381</v>
      </c>
      <c r="F163" s="7">
        <f>INDEX('Revised 2019 Lockdown'!E$5:E$257,MATCH(B163,'Revised 2019 Lockdown'!B$5:B$257,0))</f>
        <v>112946.17</v>
      </c>
      <c r="G163" s="7">
        <f>INDEX('Revised 2019 Lockdown'!F$5:F$257,MATCH(B163,'Revised 2019 Lockdown'!B$5:B$257,0))</f>
        <v>198</v>
      </c>
      <c r="H163" s="7">
        <f t="shared" si="19"/>
        <v>112748.17</v>
      </c>
      <c r="I163" s="6">
        <f t="shared" si="16"/>
        <v>919.65609379951923</v>
      </c>
      <c r="J163" s="6">
        <f t="shared" si="20"/>
        <v>782.61515726829293</v>
      </c>
      <c r="K163" s="5">
        <f t="shared" si="17"/>
        <v>95947.199601221582</v>
      </c>
      <c r="L163" s="4">
        <f t="shared" si="18"/>
        <v>0</v>
      </c>
      <c r="M163" s="2" cm="1">
        <f t="array" ref="M163">SUMPRODUCT(--($L$6:$L$300&lt;&gt;1),--($C$6:$C$300=$C163),$H$6:$H$300)/SUMPRODUCT(--($L$6:$L$300&lt;&gt;1),--($C$6:$C$300=$C163),$E$6:$E$300)</f>
        <v>542.01839206271461</v>
      </c>
      <c r="N163" s="1" cm="1">
        <f t="array" ref="N163">SUMPRODUCT(--($L$6:$L$300&lt;&gt;1),--($C$6:$C$300=$C163))</f>
        <v>69</v>
      </c>
      <c r="O163" s="3">
        <f t="shared" si="21"/>
        <v>142610.23377305581</v>
      </c>
      <c r="P163" s="2" cm="1">
        <f t="array" ref="P163">SQRT(SUMPRODUCT(--($L$6:$L$300&lt;&gt;1),--($C$6:$C$300=$C163),$E$6:$E$300,$O$6:$O$300)/((N163-1)*SUMPRODUCT(--($L$6:$L$300&lt;&gt;1),--($C$6:$C$300=$C163),$E$6:$E$300)/N163))</f>
        <v>187.73865342151541</v>
      </c>
      <c r="Q163" s="2">
        <f t="shared" si="15"/>
        <v>301.42162685713635</v>
      </c>
      <c r="R163" s="2">
        <f t="shared" si="15"/>
        <v>782.61515726829293</v>
      </c>
      <c r="S163" s="2">
        <f t="shared" si="22"/>
        <v>782.61515726829293</v>
      </c>
    </row>
    <row r="164" spans="2:19" x14ac:dyDescent="0.35">
      <c r="B164">
        <v>757</v>
      </c>
      <c r="C164" s="17">
        <v>7</v>
      </c>
      <c r="D164" s="22" t="s">
        <v>181</v>
      </c>
      <c r="E164" s="90">
        <f>INDEX('Revised 2019 Lockdown'!H$5:H$257,MATCH(B164,'Revised 2019 Lockdown'!B$5:B$257,0))</f>
        <v>525.4</v>
      </c>
      <c r="F164" s="7">
        <f>INDEX('Revised 2019 Lockdown'!E$5:E$257,MATCH(B164,'Revised 2019 Lockdown'!B$5:B$257,0))</f>
        <v>282725.34000000003</v>
      </c>
      <c r="G164" s="7">
        <f>INDEX('Revised 2019 Lockdown'!F$5:F$257,MATCH(B164,'Revised 2019 Lockdown'!B$5:B$257,0))</f>
        <v>29075.73</v>
      </c>
      <c r="H164" s="7">
        <f t="shared" si="19"/>
        <v>253649.61000000002</v>
      </c>
      <c r="I164" s="6">
        <f t="shared" si="16"/>
        <v>482.77428625808915</v>
      </c>
      <c r="J164" s="6">
        <f t="shared" si="20"/>
        <v>482.77428625808915</v>
      </c>
      <c r="K164" s="5">
        <f t="shared" si="17"/>
        <v>253649.61000000002</v>
      </c>
      <c r="L164" s="4">
        <f t="shared" si="18"/>
        <v>0</v>
      </c>
      <c r="M164" s="2" cm="1">
        <f t="array" ref="M164">SUMPRODUCT(--($L$6:$L$300&lt;&gt;1),--($C$6:$C$300=$C164),$H$6:$H$300)/SUMPRODUCT(--($L$6:$L$300&lt;&gt;1),--($C$6:$C$300=$C164),$E$6:$E$300)</f>
        <v>542.01839206271461</v>
      </c>
      <c r="N164" s="1" cm="1">
        <f t="array" ref="N164">SUMPRODUCT(--($L$6:$L$300&lt;&gt;1),--($C$6:$C$300=$C164))</f>
        <v>69</v>
      </c>
      <c r="O164" s="3">
        <f t="shared" si="21"/>
        <v>3509.8640725896566</v>
      </c>
      <c r="P164" s="2" cm="1">
        <f t="array" ref="P164">SQRT(SUMPRODUCT(--($L$6:$L$300&lt;&gt;1),--($C$6:$C$300=$C164),$E$6:$E$300,$O$6:$O$300)/((N164-1)*SUMPRODUCT(--($L$6:$L$300&lt;&gt;1),--($C$6:$C$300=$C164),$E$6:$E$300)/N164))</f>
        <v>187.73865342151541</v>
      </c>
      <c r="Q164" s="2">
        <f t="shared" si="15"/>
        <v>301.42162685713635</v>
      </c>
      <c r="R164" s="2">
        <f t="shared" si="15"/>
        <v>782.61515726829293</v>
      </c>
      <c r="S164" s="2">
        <f t="shared" si="22"/>
        <v>482.77428625808915</v>
      </c>
    </row>
    <row r="165" spans="2:19" x14ac:dyDescent="0.35">
      <c r="B165">
        <v>786</v>
      </c>
      <c r="C165" s="17">
        <v>7</v>
      </c>
      <c r="D165" s="22" t="s">
        <v>182</v>
      </c>
      <c r="E165" s="90">
        <f>INDEX('Revised 2019 Lockdown'!H$5:H$257,MATCH(B165,'Revised 2019 Lockdown'!B$5:B$257,0))</f>
        <v>3077.6600000000003</v>
      </c>
      <c r="F165" s="7">
        <f>INDEX('Revised 2019 Lockdown'!E$5:E$257,MATCH(B165,'Revised 2019 Lockdown'!B$5:B$257,0))</f>
        <v>1688120.75</v>
      </c>
      <c r="G165" s="7">
        <f>INDEX('Revised 2019 Lockdown'!F$5:F$257,MATCH(B165,'Revised 2019 Lockdown'!B$5:B$257,0))</f>
        <v>214655.14</v>
      </c>
      <c r="H165" s="7">
        <f t="shared" si="19"/>
        <v>1473465.6099999999</v>
      </c>
      <c r="I165" s="6">
        <f t="shared" si="16"/>
        <v>478.76165983247006</v>
      </c>
      <c r="J165" s="6">
        <f t="shared" si="20"/>
        <v>478.76165983247006</v>
      </c>
      <c r="K165" s="5">
        <f t="shared" si="17"/>
        <v>1473465.6099999999</v>
      </c>
      <c r="L165" s="4">
        <f t="shared" si="18"/>
        <v>0</v>
      </c>
      <c r="M165" s="2" cm="1">
        <f t="array" ref="M165">SUMPRODUCT(--($L$6:$L$300&lt;&gt;1),--($C$6:$C$300=$C165),$H$6:$H$300)/SUMPRODUCT(--($L$6:$L$300&lt;&gt;1),--($C$6:$C$300=$C165),$E$6:$E$300)</f>
        <v>542.01839206271461</v>
      </c>
      <c r="N165" s="1" cm="1">
        <f t="array" ref="N165">SUMPRODUCT(--($L$6:$L$300&lt;&gt;1),--($C$6:$C$300=$C165))</f>
        <v>69</v>
      </c>
      <c r="O165" s="3">
        <f t="shared" si="21"/>
        <v>4001.41417244886</v>
      </c>
      <c r="P165" s="2" cm="1">
        <f t="array" ref="P165">SQRT(SUMPRODUCT(--($L$6:$L$300&lt;&gt;1),--($C$6:$C$300=$C165),$E$6:$E$300,$O$6:$O$300)/((N165-1)*SUMPRODUCT(--($L$6:$L$300&lt;&gt;1),--($C$6:$C$300=$C165),$E$6:$E$300)/N165))</f>
        <v>187.73865342151541</v>
      </c>
      <c r="Q165" s="2">
        <f t="shared" si="15"/>
        <v>301.42162685713635</v>
      </c>
      <c r="R165" s="2">
        <f t="shared" si="15"/>
        <v>782.61515726829293</v>
      </c>
      <c r="S165" s="2">
        <f t="shared" si="22"/>
        <v>478.76165983247006</v>
      </c>
    </row>
    <row r="166" spans="2:19" x14ac:dyDescent="0.35">
      <c r="B166">
        <v>854</v>
      </c>
      <c r="C166" s="17">
        <v>7</v>
      </c>
      <c r="D166" s="22" t="s">
        <v>183</v>
      </c>
      <c r="E166" s="90">
        <f>INDEX('Revised 2019 Lockdown'!H$5:H$257,MATCH(B166,'Revised 2019 Lockdown'!B$5:B$257,0))</f>
        <v>929.24</v>
      </c>
      <c r="F166" s="7">
        <f>INDEX('Revised 2019 Lockdown'!E$5:E$257,MATCH(B166,'Revised 2019 Lockdown'!B$5:B$257,0))</f>
        <v>538668.79</v>
      </c>
      <c r="G166" s="7">
        <f>INDEX('Revised 2019 Lockdown'!F$5:F$257,MATCH(B166,'Revised 2019 Lockdown'!B$5:B$257,0))</f>
        <v>37955.19</v>
      </c>
      <c r="H166" s="7">
        <f t="shared" si="19"/>
        <v>500713.60000000003</v>
      </c>
      <c r="I166" s="6">
        <f t="shared" si="16"/>
        <v>538.84206448280315</v>
      </c>
      <c r="J166" s="6">
        <f t="shared" si="20"/>
        <v>538.84206448280315</v>
      </c>
      <c r="K166" s="5">
        <f t="shared" si="17"/>
        <v>500713.60000000003</v>
      </c>
      <c r="L166" s="4">
        <f t="shared" si="18"/>
        <v>0</v>
      </c>
      <c r="M166" s="2" cm="1">
        <f t="array" ref="M166">SUMPRODUCT(--($L$6:$L$300&lt;&gt;1),--($C$6:$C$300=$C166),$H$6:$H$300)/SUMPRODUCT(--($L$6:$L$300&lt;&gt;1),--($C$6:$C$300=$C166),$E$6:$E$300)</f>
        <v>542.01839206271461</v>
      </c>
      <c r="N166" s="1" cm="1">
        <f t="array" ref="N166">SUMPRODUCT(--($L$6:$L$300&lt;&gt;1),--($C$6:$C$300=$C166))</f>
        <v>69</v>
      </c>
      <c r="O166" s="3">
        <f t="shared" si="21"/>
        <v>10.089056894906181</v>
      </c>
      <c r="P166" s="2" cm="1">
        <f t="array" ref="P166">SQRT(SUMPRODUCT(--($L$6:$L$300&lt;&gt;1),--($C$6:$C$300=$C166),$E$6:$E$300,$O$6:$O$300)/((N166-1)*SUMPRODUCT(--($L$6:$L$300&lt;&gt;1),--($C$6:$C$300=$C166),$E$6:$E$300)/N166))</f>
        <v>187.73865342151541</v>
      </c>
      <c r="Q166" s="2">
        <f t="shared" si="15"/>
        <v>301.42162685713635</v>
      </c>
      <c r="R166" s="2">
        <f t="shared" si="15"/>
        <v>782.61515726829293</v>
      </c>
      <c r="S166" s="2">
        <f t="shared" si="22"/>
        <v>538.84206448280315</v>
      </c>
    </row>
    <row r="167" spans="2:19" x14ac:dyDescent="0.35">
      <c r="B167">
        <v>855</v>
      </c>
      <c r="C167" s="17">
        <v>7</v>
      </c>
      <c r="D167" s="22" t="s">
        <v>184</v>
      </c>
      <c r="E167" s="90">
        <f>INDEX('Revised 2019 Lockdown'!H$5:H$257,MATCH(B167,'Revised 2019 Lockdown'!B$5:B$257,0))</f>
        <v>155.11353756998295</v>
      </c>
      <c r="F167" s="7">
        <f>INDEX('Revised 2019 Lockdown'!E$5:E$257,MATCH(B167,'Revised 2019 Lockdown'!B$5:B$257,0))</f>
        <v>140023.82</v>
      </c>
      <c r="G167" s="7">
        <f>INDEX('Revised 2019 Lockdown'!F$5:F$257,MATCH(B167,'Revised 2019 Lockdown'!B$5:B$257,0))</f>
        <v>7037</v>
      </c>
      <c r="H167" s="7">
        <f t="shared" si="19"/>
        <v>132986.82</v>
      </c>
      <c r="I167" s="6">
        <f t="shared" si="16"/>
        <v>857.35147352951071</v>
      </c>
      <c r="J167" s="6">
        <f t="shared" si="20"/>
        <v>782.61515726829293</v>
      </c>
      <c r="K167" s="5">
        <f t="shared" si="17"/>
        <v>121394.20559977347</v>
      </c>
      <c r="L167" s="4">
        <f t="shared" si="18"/>
        <v>0</v>
      </c>
      <c r="M167" s="2" cm="1">
        <f t="array" ref="M167">SUMPRODUCT(--($L$6:$L$300&lt;&gt;1),--($C$6:$C$300=$C167),$H$6:$H$300)/SUMPRODUCT(--($L$6:$L$300&lt;&gt;1),--($C$6:$C$300=$C167),$E$6:$E$300)</f>
        <v>542.01839206271461</v>
      </c>
      <c r="N167" s="1" cm="1">
        <f t="array" ref="N167">SUMPRODUCT(--($L$6:$L$300&lt;&gt;1),--($C$6:$C$300=$C167))</f>
        <v>69</v>
      </c>
      <c r="O167" s="3">
        <f t="shared" si="21"/>
        <v>99434.95226734507</v>
      </c>
      <c r="P167" s="2" cm="1">
        <f t="array" ref="P167">SQRT(SUMPRODUCT(--($L$6:$L$300&lt;&gt;1),--($C$6:$C$300=$C167),$E$6:$E$300,$O$6:$O$300)/((N167-1)*SUMPRODUCT(--($L$6:$L$300&lt;&gt;1),--($C$6:$C$300=$C167),$E$6:$E$300)/N167))</f>
        <v>187.73865342151541</v>
      </c>
      <c r="Q167" s="2">
        <f t="shared" si="15"/>
        <v>301.42162685713635</v>
      </c>
      <c r="R167" s="2">
        <f t="shared" si="15"/>
        <v>782.61515726829293</v>
      </c>
      <c r="S167" s="2">
        <f t="shared" si="22"/>
        <v>782.61515726829293</v>
      </c>
    </row>
    <row r="168" spans="2:19" x14ac:dyDescent="0.35">
      <c r="B168">
        <v>862</v>
      </c>
      <c r="C168" s="17">
        <v>7</v>
      </c>
      <c r="D168" s="22" t="s">
        <v>185</v>
      </c>
      <c r="E168" s="90">
        <f>INDEX('Revised 2019 Lockdown'!H$5:H$257,MATCH(B168,'Revised 2019 Lockdown'!B$5:B$257,0))</f>
        <v>12.345441747052517</v>
      </c>
      <c r="F168" s="7">
        <f>INDEX('Revised 2019 Lockdown'!E$5:E$257,MATCH(B168,'Revised 2019 Lockdown'!B$5:B$257,0))</f>
        <v>11467.29</v>
      </c>
      <c r="G168" s="7">
        <f>INDEX('Revised 2019 Lockdown'!F$5:F$257,MATCH(B168,'Revised 2019 Lockdown'!B$5:B$257,0))</f>
        <v>8232.5</v>
      </c>
      <c r="H168" s="7">
        <f t="shared" si="19"/>
        <v>3234.7900000000009</v>
      </c>
      <c r="I168" s="6">
        <f t="shared" si="16"/>
        <v>262.02302568657046</v>
      </c>
      <c r="J168" s="6">
        <f t="shared" si="20"/>
        <v>262.02302568657046</v>
      </c>
      <c r="K168" s="5">
        <f t="shared" si="17"/>
        <v>3234.7900000000009</v>
      </c>
      <c r="L168" s="4">
        <f t="shared" si="18"/>
        <v>0</v>
      </c>
      <c r="M168" s="2" cm="1">
        <f t="array" ref="M168">SUMPRODUCT(--($L$6:$L$300&lt;&gt;1),--($C$6:$C$300=$C168),$H$6:$H$300)/SUMPRODUCT(--($L$6:$L$300&lt;&gt;1),--($C$6:$C$300=$C168),$E$6:$E$300)</f>
        <v>542.01839206271461</v>
      </c>
      <c r="N168" s="1" cm="1">
        <f t="array" ref="N168">SUMPRODUCT(--($L$6:$L$300&lt;&gt;1),--($C$6:$C$300=$C168))</f>
        <v>69</v>
      </c>
      <c r="O168" s="3">
        <f t="shared" si="21"/>
        <v>78397.405192111197</v>
      </c>
      <c r="P168" s="2" cm="1">
        <f t="array" ref="P168">SQRT(SUMPRODUCT(--($L$6:$L$300&lt;&gt;1),--($C$6:$C$300=$C168),$E$6:$E$300,$O$6:$O$300)/((N168-1)*SUMPRODUCT(--($L$6:$L$300&lt;&gt;1),--($C$6:$C$300=$C168),$E$6:$E$300)/N168))</f>
        <v>187.73865342151541</v>
      </c>
      <c r="Q168" s="2">
        <f t="shared" si="15"/>
        <v>301.42162685713635</v>
      </c>
      <c r="R168" s="2">
        <f t="shared" si="15"/>
        <v>782.61515726829293</v>
      </c>
      <c r="S168" s="2">
        <f t="shared" si="22"/>
        <v>301.42162685713635</v>
      </c>
    </row>
    <row r="169" spans="2:19" x14ac:dyDescent="0.35">
      <c r="B169">
        <v>958</v>
      </c>
      <c r="C169" s="17">
        <v>7</v>
      </c>
      <c r="D169" s="22" t="s">
        <v>186</v>
      </c>
      <c r="E169" s="90">
        <f>INDEX('Revised 2019 Lockdown'!H$5:H$257,MATCH(B169,'Revised 2019 Lockdown'!B$5:B$257,0))</f>
        <v>508.60074662379418</v>
      </c>
      <c r="F169" s="7">
        <f>INDEX('Revised 2019 Lockdown'!E$5:E$257,MATCH(B169,'Revised 2019 Lockdown'!B$5:B$257,0))</f>
        <v>99405.3</v>
      </c>
      <c r="G169" s="7">
        <f>INDEX('Revised 2019 Lockdown'!F$5:F$257,MATCH(B169,'Revised 2019 Lockdown'!B$5:B$257,0))</f>
        <v>311.52</v>
      </c>
      <c r="H169" s="7">
        <f t="shared" si="19"/>
        <v>99093.78</v>
      </c>
      <c r="I169" s="6">
        <f t="shared" si="16"/>
        <v>194.83608834199859</v>
      </c>
      <c r="J169" s="6">
        <f t="shared" si="20"/>
        <v>194.83608834199859</v>
      </c>
      <c r="K169" s="5">
        <f t="shared" si="17"/>
        <v>99093.78</v>
      </c>
      <c r="L169" s="4">
        <f t="shared" si="18"/>
        <v>0</v>
      </c>
      <c r="M169" s="2" cm="1">
        <f t="array" ref="M169">SUMPRODUCT(--($L$6:$L$300&lt;&gt;1),--($C$6:$C$300=$C169),$H$6:$H$300)/SUMPRODUCT(--($L$6:$L$300&lt;&gt;1),--($C$6:$C$300=$C169),$E$6:$E$300)</f>
        <v>542.01839206271461</v>
      </c>
      <c r="N169" s="1" cm="1">
        <f t="array" ref="N169">SUMPRODUCT(--($L$6:$L$300&lt;&gt;1),--($C$6:$C$300=$C169))</f>
        <v>69</v>
      </c>
      <c r="O169" s="3">
        <f t="shared" si="21"/>
        <v>120535.55201682352</v>
      </c>
      <c r="P169" s="2" cm="1">
        <f t="array" ref="P169">SQRT(SUMPRODUCT(--($L$6:$L$300&lt;&gt;1),--($C$6:$C$300=$C169),$E$6:$E$300,$O$6:$O$300)/((N169-1)*SUMPRODUCT(--($L$6:$L$300&lt;&gt;1),--($C$6:$C$300=$C169),$E$6:$E$300)/N169))</f>
        <v>187.73865342151541</v>
      </c>
      <c r="Q169" s="2">
        <f t="shared" si="15"/>
        <v>301.42162685713635</v>
      </c>
      <c r="R169" s="2">
        <f t="shared" si="15"/>
        <v>782.61515726829293</v>
      </c>
      <c r="S169" s="2">
        <f t="shared" si="22"/>
        <v>301.42162685713635</v>
      </c>
    </row>
    <row r="170" spans="2:19" x14ac:dyDescent="0.35">
      <c r="B170">
        <v>967</v>
      </c>
      <c r="C170" s="17">
        <v>7</v>
      </c>
      <c r="D170" s="22" t="s">
        <v>187</v>
      </c>
      <c r="E170" s="90">
        <f>INDEX('Revised 2019 Lockdown'!H$5:H$257,MATCH(B170,'Revised 2019 Lockdown'!B$5:B$257,0))</f>
        <v>155.99990261402883</v>
      </c>
      <c r="F170" s="7">
        <f>INDEX('Revised 2019 Lockdown'!E$5:E$257,MATCH(B170,'Revised 2019 Lockdown'!B$5:B$257,0))</f>
        <v>91606.77</v>
      </c>
      <c r="G170" s="7">
        <f>INDEX('Revised 2019 Lockdown'!F$5:F$257,MATCH(B170,'Revised 2019 Lockdown'!B$5:B$257,0))</f>
        <v>0</v>
      </c>
      <c r="H170" s="7">
        <f t="shared" si="19"/>
        <v>91606.77</v>
      </c>
      <c r="I170" s="6">
        <f t="shared" si="16"/>
        <v>587.22325120068342</v>
      </c>
      <c r="J170" s="6">
        <f t="shared" si="20"/>
        <v>587.22325120068342</v>
      </c>
      <c r="K170" s="5">
        <f t="shared" si="17"/>
        <v>91606.77</v>
      </c>
      <c r="L170" s="4">
        <f t="shared" si="18"/>
        <v>0</v>
      </c>
      <c r="M170" s="2" cm="1">
        <f t="array" ref="M170">SUMPRODUCT(--($L$6:$L$300&lt;&gt;1),--($C$6:$C$300=$C170),$H$6:$H$300)/SUMPRODUCT(--($L$6:$L$300&lt;&gt;1),--($C$6:$C$300=$C170),$E$6:$E$300)</f>
        <v>542.01839206271461</v>
      </c>
      <c r="N170" s="1" cm="1">
        <f t="array" ref="N170">SUMPRODUCT(--($L$6:$L$300&lt;&gt;1),--($C$6:$C$300=$C170))</f>
        <v>69</v>
      </c>
      <c r="O170" s="3">
        <f t="shared" si="21"/>
        <v>2043.4792896836022</v>
      </c>
      <c r="P170" s="2" cm="1">
        <f t="array" ref="P170">SQRT(SUMPRODUCT(--($L$6:$L$300&lt;&gt;1),--($C$6:$C$300=$C170),$E$6:$E$300,$O$6:$O$300)/((N170-1)*SUMPRODUCT(--($L$6:$L$300&lt;&gt;1),--($C$6:$C$300=$C170),$E$6:$E$300)/N170))</f>
        <v>187.73865342151541</v>
      </c>
      <c r="Q170" s="2">
        <f t="shared" si="15"/>
        <v>301.42162685713635</v>
      </c>
      <c r="R170" s="2">
        <f t="shared" si="15"/>
        <v>782.61515726829293</v>
      </c>
      <c r="S170" s="2">
        <f t="shared" si="22"/>
        <v>587.22325120068342</v>
      </c>
    </row>
    <row r="171" spans="2:19" x14ac:dyDescent="0.35">
      <c r="B171">
        <v>971</v>
      </c>
      <c r="C171" s="17">
        <v>7</v>
      </c>
      <c r="D171" s="22" t="s">
        <v>188</v>
      </c>
      <c r="E171" s="90">
        <f>INDEX('Revised 2019 Lockdown'!H$5:H$257,MATCH(B171,'Revised 2019 Lockdown'!B$5:B$257,0))</f>
        <v>888.33999999999992</v>
      </c>
      <c r="F171" s="7">
        <f>INDEX('Revised 2019 Lockdown'!E$5:E$257,MATCH(B171,'Revised 2019 Lockdown'!B$5:B$257,0))</f>
        <v>579439.27</v>
      </c>
      <c r="G171" s="7">
        <f>INDEX('Revised 2019 Lockdown'!F$5:F$257,MATCH(B171,'Revised 2019 Lockdown'!B$5:B$257,0))</f>
        <v>96935.22</v>
      </c>
      <c r="H171" s="7">
        <f t="shared" si="19"/>
        <v>482504.05000000005</v>
      </c>
      <c r="I171" s="6">
        <f t="shared" si="16"/>
        <v>543.15245288965946</v>
      </c>
      <c r="J171" s="6">
        <f t="shared" si="20"/>
        <v>543.15245288965946</v>
      </c>
      <c r="K171" s="5">
        <f t="shared" si="17"/>
        <v>482504.05000000005</v>
      </c>
      <c r="L171" s="4">
        <f t="shared" si="18"/>
        <v>0</v>
      </c>
      <c r="M171" s="2" cm="1">
        <f t="array" ref="M171">SUMPRODUCT(--($L$6:$L$300&lt;&gt;1),--($C$6:$C$300=$C171),$H$6:$H$300)/SUMPRODUCT(--($L$6:$L$300&lt;&gt;1),--($C$6:$C$300=$C171),$E$6:$E$300)</f>
        <v>542.01839206271461</v>
      </c>
      <c r="N171" s="1" cm="1">
        <f t="array" ref="N171">SUMPRODUCT(--($L$6:$L$300&lt;&gt;1),--($C$6:$C$300=$C171))</f>
        <v>69</v>
      </c>
      <c r="O171" s="3">
        <f t="shared" si="21"/>
        <v>1.2860939592108294</v>
      </c>
      <c r="P171" s="2" cm="1">
        <f t="array" ref="P171">SQRT(SUMPRODUCT(--($L$6:$L$300&lt;&gt;1),--($C$6:$C$300=$C171),$E$6:$E$300,$O$6:$O$300)/((N171-1)*SUMPRODUCT(--($L$6:$L$300&lt;&gt;1),--($C$6:$C$300=$C171),$E$6:$E$300)/N171))</f>
        <v>187.73865342151541</v>
      </c>
      <c r="Q171" s="2">
        <f t="shared" si="15"/>
        <v>301.42162685713635</v>
      </c>
      <c r="R171" s="2">
        <f t="shared" si="15"/>
        <v>782.61515726829293</v>
      </c>
      <c r="S171" s="2">
        <f t="shared" si="22"/>
        <v>543.15245288965946</v>
      </c>
    </row>
    <row r="172" spans="2:19" x14ac:dyDescent="0.35">
      <c r="B172" s="18">
        <v>975</v>
      </c>
      <c r="C172" s="17">
        <v>7</v>
      </c>
      <c r="D172" s="22" t="s">
        <v>189</v>
      </c>
      <c r="E172" s="90">
        <f>INDEX('Revised 2019 Lockdown'!H$5:H$257,MATCH(B172,'Revised 2019 Lockdown'!B$5:B$257,0))</f>
        <v>30.317539180659761</v>
      </c>
      <c r="F172" s="7">
        <f>INDEX('Revised 2019 Lockdown'!E$5:E$257,MATCH(B172,'Revised 2019 Lockdown'!B$5:B$257,0))</f>
        <v>76785.06</v>
      </c>
      <c r="G172" s="7">
        <f>INDEX('Revised 2019 Lockdown'!F$5:F$257,MATCH(B172,'Revised 2019 Lockdown'!B$5:B$257,0))</f>
        <v>0</v>
      </c>
      <c r="H172" s="7">
        <f t="shared" si="19"/>
        <v>76785.06</v>
      </c>
      <c r="I172" s="6">
        <f t="shared" si="16"/>
        <v>2532.694343773881</v>
      </c>
      <c r="J172" s="6">
        <f t="shared" si="20"/>
        <v>782.61515726829293</v>
      </c>
      <c r="K172" s="5">
        <f t="shared" si="17"/>
        <v>23726.965693859671</v>
      </c>
      <c r="L172" s="4">
        <f t="shared" si="18"/>
        <v>0</v>
      </c>
      <c r="M172" s="2" cm="1">
        <f t="array" ref="M172">SUMPRODUCT(--($L$6:$L$300&lt;&gt;1),--($C$6:$C$300=$C172),$H$6:$H$300)/SUMPRODUCT(--($L$6:$L$300&lt;&gt;1),--($C$6:$C$300=$C172),$E$6:$E$300)</f>
        <v>542.01839206271461</v>
      </c>
      <c r="N172" s="1" cm="1">
        <f t="array" ref="N172">SUMPRODUCT(--($L$6:$L$300&lt;&gt;1),--($C$6:$C$300=$C172))</f>
        <v>69</v>
      </c>
      <c r="O172" s="3">
        <f t="shared" si="21"/>
        <v>3962790.7447211579</v>
      </c>
      <c r="P172" s="2" cm="1">
        <f t="array" ref="P172">SQRT(SUMPRODUCT(--($L$6:$L$300&lt;&gt;1),--($C$6:$C$300=$C172),$E$6:$E$300,$O$6:$O$300)/((N172-1)*SUMPRODUCT(--($L$6:$L$300&lt;&gt;1),--($C$6:$C$300=$C172),$E$6:$E$300)/N172))</f>
        <v>187.73865342151541</v>
      </c>
      <c r="Q172" s="2">
        <f t="shared" si="15"/>
        <v>301.42162685713635</v>
      </c>
      <c r="R172" s="2">
        <f t="shared" si="15"/>
        <v>782.61515726829293</v>
      </c>
      <c r="S172" s="2">
        <f t="shared" si="22"/>
        <v>782.61515726829293</v>
      </c>
    </row>
    <row r="173" spans="2:19" x14ac:dyDescent="0.35">
      <c r="B173">
        <v>976</v>
      </c>
      <c r="C173" s="17">
        <v>7</v>
      </c>
      <c r="D173" s="22" t="s">
        <v>295</v>
      </c>
      <c r="E173" s="90">
        <f>INDEX('Revised 2019 Lockdown'!H$5:H$257,MATCH(B173,'Revised 2019 Lockdown'!B$5:B$257,0))</f>
        <v>31.32229912468739</v>
      </c>
      <c r="F173" s="7">
        <f>INDEX('Revised 2019 Lockdown'!E$5:E$257,MATCH(B173,'Revised 2019 Lockdown'!B$5:B$257,0))</f>
        <v>39297.230000000003</v>
      </c>
      <c r="G173" s="7">
        <f>INDEX('Revised 2019 Lockdown'!F$5:F$257,MATCH(B173,'Revised 2019 Lockdown'!B$5:B$257,0))</f>
        <v>0</v>
      </c>
      <c r="H173" s="7">
        <f t="shared" si="19"/>
        <v>39297.230000000003</v>
      </c>
      <c r="I173" s="6">
        <f t="shared" si="16"/>
        <v>1254.6087323783645</v>
      </c>
      <c r="J173" s="6">
        <f t="shared" si="20"/>
        <v>782.61515726829293</v>
      </c>
      <c r="K173" s="5">
        <f t="shared" si="17"/>
        <v>24513.306055471738</v>
      </c>
      <c r="L173" s="4">
        <f t="shared" si="18"/>
        <v>0</v>
      </c>
      <c r="M173" s="2" cm="1">
        <f t="array" ref="M173">SUMPRODUCT(--($L$6:$L$300&lt;&gt;1),--($C$6:$C$300=$C173),$H$6:$H$300)/SUMPRODUCT(--($L$6:$L$300&lt;&gt;1),--($C$6:$C$300=$C173),$E$6:$E$300)</f>
        <v>542.01839206271461</v>
      </c>
      <c r="N173" s="1" cm="1">
        <f t="array" ref="N173">SUMPRODUCT(--($L$6:$L$300&lt;&gt;1),--($C$6:$C$300=$C173))</f>
        <v>69</v>
      </c>
      <c r="O173" s="3">
        <f t="shared" si="21"/>
        <v>507784.99311117374</v>
      </c>
      <c r="P173" s="2" cm="1">
        <f t="array" ref="P173">SQRT(SUMPRODUCT(--($L$6:$L$300&lt;&gt;1),--($C$6:$C$300=$C173),$E$6:$E$300,$O$6:$O$300)/((N173-1)*SUMPRODUCT(--($L$6:$L$300&lt;&gt;1),--($C$6:$C$300=$C173),$E$6:$E$300)/N173))</f>
        <v>187.73865342151541</v>
      </c>
      <c r="Q173" s="2">
        <f t="shared" si="15"/>
        <v>301.42162685713635</v>
      </c>
      <c r="R173" s="2">
        <f t="shared" si="15"/>
        <v>782.61515726829293</v>
      </c>
      <c r="S173" s="2">
        <f t="shared" si="22"/>
        <v>782.61515726829293</v>
      </c>
    </row>
    <row r="174" spans="2:19" x14ac:dyDescent="0.35">
      <c r="B174">
        <v>977</v>
      </c>
      <c r="C174" s="17">
        <v>7</v>
      </c>
      <c r="D174" s="22" t="s">
        <v>190</v>
      </c>
      <c r="E174" s="90">
        <f>INDEX('Revised 2019 Lockdown'!H$5:H$257,MATCH(B174,'Revised 2019 Lockdown'!B$5:B$257,0))</f>
        <v>47.09266172442539</v>
      </c>
      <c r="F174" s="7">
        <f>INDEX('Revised 2019 Lockdown'!E$5:E$257,MATCH(B174,'Revised 2019 Lockdown'!B$5:B$257,0))</f>
        <v>60860.35</v>
      </c>
      <c r="G174" s="7">
        <f>INDEX('Revised 2019 Lockdown'!F$5:F$257,MATCH(B174,'Revised 2019 Lockdown'!B$5:B$257,0))</f>
        <v>0</v>
      </c>
      <c r="H174" s="7">
        <f t="shared" si="19"/>
        <v>60860.35</v>
      </c>
      <c r="I174" s="6">
        <f t="shared" si="16"/>
        <v>1292.3531559150281</v>
      </c>
      <c r="J174" s="6">
        <f t="shared" si="20"/>
        <v>782.61515726829293</v>
      </c>
      <c r="K174" s="5">
        <f t="shared" si="17"/>
        <v>36855.430861643697</v>
      </c>
      <c r="L174" s="4">
        <f t="shared" si="18"/>
        <v>0</v>
      </c>
      <c r="M174" s="2" cm="1">
        <f t="array" ref="M174">SUMPRODUCT(--($L$6:$L$300&lt;&gt;1),--($C$6:$C$300=$C174),$H$6:$H$300)/SUMPRODUCT(--($L$6:$L$300&lt;&gt;1),--($C$6:$C$300=$C174),$E$6:$E$300)</f>
        <v>542.01839206271461</v>
      </c>
      <c r="N174" s="1" cm="1">
        <f t="array" ref="N174">SUMPRODUCT(--($L$6:$L$300&lt;&gt;1),--($C$6:$C$300=$C174))</f>
        <v>69</v>
      </c>
      <c r="O174" s="3">
        <f t="shared" si="21"/>
        <v>563002.257845307</v>
      </c>
      <c r="P174" s="2" cm="1">
        <f t="array" ref="P174">SQRT(SUMPRODUCT(--($L$6:$L$300&lt;&gt;1),--($C$6:$C$300=$C174),$E$6:$E$300,$O$6:$O$300)/((N174-1)*SUMPRODUCT(--($L$6:$L$300&lt;&gt;1),--($C$6:$C$300=$C174),$E$6:$E$300)/N174))</f>
        <v>187.73865342151541</v>
      </c>
      <c r="Q174" s="2">
        <f t="shared" si="15"/>
        <v>301.42162685713635</v>
      </c>
      <c r="R174" s="2">
        <f t="shared" si="15"/>
        <v>782.61515726829293</v>
      </c>
      <c r="S174" s="2">
        <f t="shared" si="22"/>
        <v>782.61515726829293</v>
      </c>
    </row>
    <row r="175" spans="2:19" x14ac:dyDescent="0.35">
      <c r="B175">
        <v>979</v>
      </c>
      <c r="C175" s="17">
        <v>7</v>
      </c>
      <c r="D175" s="22" t="s">
        <v>349</v>
      </c>
      <c r="E175" s="90">
        <f>INDEX('Revised 2019 Lockdown'!H$5:H$257,MATCH(B175,'Revised 2019 Lockdown'!B$5:B$257,0))</f>
        <v>251.06766740502562</v>
      </c>
      <c r="F175" s="7">
        <f>INDEX('Revised 2019 Lockdown'!E$5:E$257,MATCH(B175,'Revised 2019 Lockdown'!B$5:B$257,0))</f>
        <v>106200.78</v>
      </c>
      <c r="G175" s="7">
        <f>INDEX('Revised 2019 Lockdown'!F$5:F$257,MATCH(B175,'Revised 2019 Lockdown'!B$5:B$257,0))</f>
        <v>0</v>
      </c>
      <c r="H175" s="7">
        <f t="shared" si="19"/>
        <v>106200.78</v>
      </c>
      <c r="I175" s="6">
        <f t="shared" si="16"/>
        <v>422.99664109546819</v>
      </c>
      <c r="J175" s="6">
        <f t="shared" si="20"/>
        <v>422.99664109546819</v>
      </c>
      <c r="K175" s="5">
        <f t="shared" si="17"/>
        <v>106200.78</v>
      </c>
      <c r="L175" s="4">
        <f t="shared" si="18"/>
        <v>0</v>
      </c>
      <c r="M175" s="2" cm="1">
        <f t="array" ref="M175">SUMPRODUCT(--($L$6:$L$300&lt;&gt;1),--($C$6:$C$300=$C175),$H$6:$H$300)/SUMPRODUCT(--($L$6:$L$300&lt;&gt;1),--($C$6:$C$300=$C175),$E$6:$E$300)</f>
        <v>542.01839206271461</v>
      </c>
      <c r="N175" s="1" cm="1">
        <f t="array" ref="N175">SUMPRODUCT(--($L$6:$L$300&lt;&gt;1),--($C$6:$C$300=$C175))</f>
        <v>69</v>
      </c>
      <c r="O175" s="3">
        <f t="shared" si="21"/>
        <v>14166.177203309224</v>
      </c>
      <c r="P175" s="2" cm="1">
        <f t="array" ref="P175">SQRT(SUMPRODUCT(--($L$6:$L$300&lt;&gt;1),--($C$6:$C$300=$C175),$E$6:$E$300,$O$6:$O$300)/((N175-1)*SUMPRODUCT(--($L$6:$L$300&lt;&gt;1),--($C$6:$C$300=$C175),$E$6:$E$300)/N175))</f>
        <v>187.73865342151541</v>
      </c>
      <c r="Q175" s="2">
        <f t="shared" si="15"/>
        <v>301.42162685713635</v>
      </c>
      <c r="R175" s="2">
        <f t="shared" si="15"/>
        <v>782.61515726829293</v>
      </c>
      <c r="S175" s="2">
        <f t="shared" si="22"/>
        <v>422.99664109546819</v>
      </c>
    </row>
    <row r="176" spans="2:19" x14ac:dyDescent="0.35">
      <c r="B176">
        <v>981</v>
      </c>
      <c r="C176" s="17">
        <v>7</v>
      </c>
      <c r="D176" s="22" t="s">
        <v>191</v>
      </c>
      <c r="E176" s="90">
        <f>INDEX('Revised 2019 Lockdown'!H$5:H$257,MATCH(B176,'Revised 2019 Lockdown'!B$5:B$257,0))</f>
        <v>202.51591950101229</v>
      </c>
      <c r="F176" s="7">
        <f>INDEX('Revised 2019 Lockdown'!E$5:E$257,MATCH(B176,'Revised 2019 Lockdown'!B$5:B$257,0))</f>
        <v>116776.12</v>
      </c>
      <c r="G176" s="7">
        <f>INDEX('Revised 2019 Lockdown'!F$5:F$257,MATCH(B176,'Revised 2019 Lockdown'!B$5:B$257,0))</f>
        <v>26983</v>
      </c>
      <c r="H176" s="7">
        <f t="shared" si="19"/>
        <v>89793.12</v>
      </c>
      <c r="I176" s="6">
        <f t="shared" si="16"/>
        <v>443.38795795039294</v>
      </c>
      <c r="J176" s="6">
        <f t="shared" si="20"/>
        <v>443.38795795039294</v>
      </c>
      <c r="K176" s="5">
        <f t="shared" si="17"/>
        <v>89793.12</v>
      </c>
      <c r="L176" s="4">
        <f t="shared" si="18"/>
        <v>0</v>
      </c>
      <c r="M176" s="2" cm="1">
        <f t="array" ref="M176">SUMPRODUCT(--($L$6:$L$300&lt;&gt;1),--($C$6:$C$300=$C176),$H$6:$H$300)/SUMPRODUCT(--($L$6:$L$300&lt;&gt;1),--($C$6:$C$300=$C176),$E$6:$E$300)</f>
        <v>542.01839206271461</v>
      </c>
      <c r="N176" s="1" cm="1">
        <f t="array" ref="N176">SUMPRODUCT(--($L$6:$L$300&lt;&gt;1),--($C$6:$C$300=$C176))</f>
        <v>69</v>
      </c>
      <c r="O176" s="3">
        <f t="shared" si="21"/>
        <v>9727.9625331850257</v>
      </c>
      <c r="P176" s="2" cm="1">
        <f t="array" ref="P176">SQRT(SUMPRODUCT(--($L$6:$L$300&lt;&gt;1),--($C$6:$C$300=$C176),$E$6:$E$300,$O$6:$O$300)/((N176-1)*SUMPRODUCT(--($L$6:$L$300&lt;&gt;1),--($C$6:$C$300=$C176),$E$6:$E$300)/N176))</f>
        <v>187.73865342151541</v>
      </c>
      <c r="Q176" s="2">
        <f t="shared" si="15"/>
        <v>301.42162685713635</v>
      </c>
      <c r="R176" s="2">
        <f t="shared" si="15"/>
        <v>782.61515726829293</v>
      </c>
      <c r="S176" s="2">
        <f t="shared" si="22"/>
        <v>443.38795795039294</v>
      </c>
    </row>
    <row r="177" spans="2:19" x14ac:dyDescent="0.35">
      <c r="B177">
        <v>983</v>
      </c>
      <c r="C177" s="17">
        <v>7</v>
      </c>
      <c r="D177" s="22" t="s">
        <v>192</v>
      </c>
      <c r="E177" s="90">
        <f>INDEX('Revised 2019 Lockdown'!H$5:H$257,MATCH(B177,'Revised 2019 Lockdown'!B$5:B$257,0))</f>
        <v>75.897781633089437</v>
      </c>
      <c r="F177" s="7">
        <f>INDEX('Revised 2019 Lockdown'!E$5:E$257,MATCH(B177,'Revised 2019 Lockdown'!B$5:B$257,0))</f>
        <v>32152.06</v>
      </c>
      <c r="G177" s="7">
        <f>INDEX('Revised 2019 Lockdown'!F$5:F$257,MATCH(B177,'Revised 2019 Lockdown'!B$5:B$257,0))</f>
        <v>0</v>
      </c>
      <c r="H177" s="7">
        <f t="shared" si="19"/>
        <v>32152.06</v>
      </c>
      <c r="I177" s="6">
        <f t="shared" si="16"/>
        <v>423.62318513381354</v>
      </c>
      <c r="J177" s="6">
        <f t="shared" si="20"/>
        <v>423.62318513381354</v>
      </c>
      <c r="K177" s="5">
        <f t="shared" si="17"/>
        <v>32152.059999999998</v>
      </c>
      <c r="L177" s="4">
        <f t="shared" si="18"/>
        <v>0</v>
      </c>
      <c r="M177" s="2" cm="1">
        <f t="array" ref="M177">SUMPRODUCT(--($L$6:$L$300&lt;&gt;1),--($C$6:$C$300=$C177),$H$6:$H$300)/SUMPRODUCT(--($L$6:$L$300&lt;&gt;1),--($C$6:$C$300=$C177),$E$6:$E$300)</f>
        <v>542.01839206271461</v>
      </c>
      <c r="N177" s="1" cm="1">
        <f t="array" ref="N177">SUMPRODUCT(--($L$6:$L$300&lt;&gt;1),--($C$6:$C$300=$C177))</f>
        <v>69</v>
      </c>
      <c r="O177" s="3">
        <f t="shared" si="21"/>
        <v>14017.425023737305</v>
      </c>
      <c r="P177" s="2" cm="1">
        <f t="array" ref="P177">SQRT(SUMPRODUCT(--($L$6:$L$300&lt;&gt;1),--($C$6:$C$300=$C177),$E$6:$E$300,$O$6:$O$300)/((N177-1)*SUMPRODUCT(--($L$6:$L$300&lt;&gt;1),--($C$6:$C$300=$C177),$E$6:$E$300)/N177))</f>
        <v>187.73865342151541</v>
      </c>
      <c r="Q177" s="2">
        <f t="shared" si="15"/>
        <v>301.42162685713635</v>
      </c>
      <c r="R177" s="2">
        <f t="shared" si="15"/>
        <v>782.61515726829293</v>
      </c>
      <c r="S177" s="2">
        <f t="shared" si="22"/>
        <v>423.62318513381354</v>
      </c>
    </row>
    <row r="178" spans="2:19" x14ac:dyDescent="0.35">
      <c r="B178">
        <v>984</v>
      </c>
      <c r="C178" s="17">
        <v>7</v>
      </c>
      <c r="D178" s="22" t="s">
        <v>193</v>
      </c>
      <c r="E178" s="90">
        <f>INDEX('Revised 2019 Lockdown'!H$5:H$257,MATCH(B178,'Revised 2019 Lockdown'!B$5:B$257,0))</f>
        <v>22.261985542455641</v>
      </c>
      <c r="F178" s="7">
        <f>INDEX('Revised 2019 Lockdown'!E$5:E$257,MATCH(B178,'Revised 2019 Lockdown'!B$5:B$257,0))</f>
        <v>9622.4</v>
      </c>
      <c r="G178" s="7">
        <f>INDEX('Revised 2019 Lockdown'!F$5:F$257,MATCH(B178,'Revised 2019 Lockdown'!B$5:B$257,0))</f>
        <v>2612</v>
      </c>
      <c r="H178" s="7">
        <f t="shared" si="19"/>
        <v>7010.4</v>
      </c>
      <c r="I178" s="6">
        <f t="shared" si="16"/>
        <v>314.90452577244406</v>
      </c>
      <c r="J178" s="6">
        <f t="shared" si="20"/>
        <v>314.90452577244406</v>
      </c>
      <c r="K178" s="5">
        <f t="shared" si="17"/>
        <v>7010.4</v>
      </c>
      <c r="L178" s="4">
        <f t="shared" si="18"/>
        <v>0</v>
      </c>
      <c r="M178" s="2" cm="1">
        <f t="array" ref="M178">SUMPRODUCT(--($L$6:$L$300&lt;&gt;1),--($C$6:$C$300=$C178),$H$6:$H$300)/SUMPRODUCT(--($L$6:$L$300&lt;&gt;1),--($C$6:$C$300=$C178),$E$6:$E$300)</f>
        <v>542.01839206271461</v>
      </c>
      <c r="N178" s="1" cm="1">
        <f t="array" ref="N178">SUMPRODUCT(--($L$6:$L$300&lt;&gt;1),--($C$6:$C$300=$C178))</f>
        <v>69</v>
      </c>
      <c r="O178" s="3">
        <f t="shared" si="21"/>
        <v>51580.708261314889</v>
      </c>
      <c r="P178" s="2" cm="1">
        <f t="array" ref="P178">SQRT(SUMPRODUCT(--($L$6:$L$300&lt;&gt;1),--($C$6:$C$300=$C178),$E$6:$E$300,$O$6:$O$300)/((N178-1)*SUMPRODUCT(--($L$6:$L$300&lt;&gt;1),--($C$6:$C$300=$C178),$E$6:$E$300)/N178))</f>
        <v>187.73865342151541</v>
      </c>
      <c r="Q178" s="2">
        <f t="shared" si="15"/>
        <v>301.42162685713635</v>
      </c>
      <c r="R178" s="2">
        <f t="shared" si="15"/>
        <v>782.61515726829293</v>
      </c>
      <c r="S178" s="2">
        <f t="shared" si="22"/>
        <v>314.90452577244406</v>
      </c>
    </row>
    <row r="179" spans="2:19" x14ac:dyDescent="0.35">
      <c r="B179">
        <v>188</v>
      </c>
      <c r="C179" s="17">
        <v>8</v>
      </c>
      <c r="D179" s="22" t="s">
        <v>194</v>
      </c>
      <c r="E179" s="90">
        <f>INDEX('Revised 2019 Lockdown'!H$5:H$257,MATCH(B179,'Revised 2019 Lockdown'!B$5:B$257,0))</f>
        <v>151.82</v>
      </c>
      <c r="F179" s="7">
        <f>INDEX('Revised 2019 Lockdown'!E$5:E$257,MATCH(B179,'Revised 2019 Lockdown'!B$5:B$257,0))</f>
        <v>136694.57999999999</v>
      </c>
      <c r="G179" s="7">
        <f>INDEX('Revised 2019 Lockdown'!F$5:F$257,MATCH(B179,'Revised 2019 Lockdown'!B$5:B$257,0))</f>
        <v>8053</v>
      </c>
      <c r="H179" s="7">
        <f t="shared" si="19"/>
        <v>128641.57999999999</v>
      </c>
      <c r="I179" s="6">
        <f t="shared" si="16"/>
        <v>847.32960084310366</v>
      </c>
      <c r="J179" s="6">
        <f t="shared" si="20"/>
        <v>847.32960084310366</v>
      </c>
      <c r="K179" s="5">
        <f t="shared" si="17"/>
        <v>128641.57999999999</v>
      </c>
      <c r="L179" s="4">
        <f t="shared" si="18"/>
        <v>0</v>
      </c>
      <c r="M179" s="2" cm="1">
        <f t="array" ref="M179">SUMPRODUCT(--($L$6:$L$300&lt;&gt;1),--($C$6:$C$300=$C179),$H$6:$H$300)/SUMPRODUCT(--($L$6:$L$300&lt;&gt;1),--($C$6:$C$300=$C179),$E$6:$E$300)</f>
        <v>1033.7097310360653</v>
      </c>
      <c r="N179" s="1" cm="1">
        <f t="array" ref="N179">SUMPRODUCT(--($L$6:$L$300&lt;&gt;1),--($C$6:$C$300=$C179))</f>
        <v>50</v>
      </c>
      <c r="O179" s="3">
        <f t="shared" si="21"/>
        <v>34737.552930745311</v>
      </c>
      <c r="P179" s="2" cm="1">
        <f t="array" ref="P179">SQRT(SUMPRODUCT(--($L$6:$L$300&lt;&gt;1),--($C$6:$C$300=$C179),$E$6:$E$300,$O$6:$O$300)/((N179-1)*SUMPRODUCT(--($L$6:$L$300&lt;&gt;1),--($C$6:$C$300=$C179),$E$6:$E$300)/N179))</f>
        <v>621.42797666652189</v>
      </c>
      <c r="Q179" s="2">
        <f t="shared" ref="Q179:R242" si="23">NORMINV(Q$4,$M179,$P179)</f>
        <v>237.3177346658706</v>
      </c>
      <c r="R179" s="2">
        <f t="shared" si="23"/>
        <v>1830.1017274062599</v>
      </c>
      <c r="S179" s="2">
        <f t="shared" si="22"/>
        <v>847.32960084310366</v>
      </c>
    </row>
    <row r="180" spans="2:19" x14ac:dyDescent="0.35">
      <c r="B180">
        <v>232</v>
      </c>
      <c r="C180" s="17">
        <v>8</v>
      </c>
      <c r="D180" s="22" t="s">
        <v>195</v>
      </c>
      <c r="E180" s="90">
        <f>INDEX('Revised 2019 Lockdown'!H$5:H$257,MATCH(B180,'Revised 2019 Lockdown'!B$5:B$257,0))</f>
        <v>99.943034780278666</v>
      </c>
      <c r="F180" s="7">
        <f>INDEX('Revised 2019 Lockdown'!E$5:E$257,MATCH(B180,'Revised 2019 Lockdown'!B$5:B$257,0))</f>
        <v>120790.9</v>
      </c>
      <c r="G180" s="7">
        <f>INDEX('Revised 2019 Lockdown'!F$5:F$257,MATCH(B180,'Revised 2019 Lockdown'!B$5:B$257,0))</f>
        <v>0</v>
      </c>
      <c r="H180" s="7">
        <f t="shared" si="19"/>
        <v>120790.9</v>
      </c>
      <c r="I180" s="6">
        <f t="shared" si="16"/>
        <v>1208.5974802101482</v>
      </c>
      <c r="J180" s="6">
        <f t="shared" si="20"/>
        <v>1208.5974802101482</v>
      </c>
      <c r="K180" s="5">
        <f t="shared" si="17"/>
        <v>120790.9</v>
      </c>
      <c r="L180" s="4">
        <f t="shared" si="18"/>
        <v>0</v>
      </c>
      <c r="M180" s="2" cm="1">
        <f t="array" ref="M180">SUMPRODUCT(--($L$6:$L$300&lt;&gt;1),--($C$6:$C$300=$C180),$H$6:$H$300)/SUMPRODUCT(--($L$6:$L$300&lt;&gt;1),--($C$6:$C$300=$C180),$E$6:$E$300)</f>
        <v>1033.7097310360653</v>
      </c>
      <c r="N180" s="1" cm="1">
        <f t="array" ref="N180">SUMPRODUCT(--($L$6:$L$300&lt;&gt;1),--($C$6:$C$300=$C180))</f>
        <v>50</v>
      </c>
      <c r="O180" s="3">
        <f t="shared" si="21"/>
        <v>30585.724811176955</v>
      </c>
      <c r="P180" s="2" cm="1">
        <f t="array" ref="P180">SQRT(SUMPRODUCT(--($L$6:$L$300&lt;&gt;1),--($C$6:$C$300=$C180),$E$6:$E$300,$O$6:$O$300)/((N180-1)*SUMPRODUCT(--($L$6:$L$300&lt;&gt;1),--($C$6:$C$300=$C180),$E$6:$E$300)/N180))</f>
        <v>621.42797666652189</v>
      </c>
      <c r="Q180" s="2">
        <f t="shared" si="23"/>
        <v>237.3177346658706</v>
      </c>
      <c r="R180" s="2">
        <f t="shared" si="23"/>
        <v>1830.1017274062599</v>
      </c>
      <c r="S180" s="2">
        <f t="shared" si="22"/>
        <v>1208.5974802101482</v>
      </c>
    </row>
    <row r="181" spans="2:19" x14ac:dyDescent="0.35">
      <c r="B181">
        <v>245</v>
      </c>
      <c r="C181" s="17">
        <v>8</v>
      </c>
      <c r="D181" s="22" t="s">
        <v>196</v>
      </c>
      <c r="E181" s="90">
        <f>INDEX('Revised 2019 Lockdown'!H$5:H$257,MATCH(B181,'Revised 2019 Lockdown'!B$5:B$257,0))</f>
        <v>237.74999999999997</v>
      </c>
      <c r="F181" s="7">
        <f>INDEX('Revised 2019 Lockdown'!E$5:E$257,MATCH(B181,'Revised 2019 Lockdown'!B$5:B$257,0))</f>
        <v>631790.16</v>
      </c>
      <c r="G181" s="7">
        <f>INDEX('Revised 2019 Lockdown'!F$5:F$257,MATCH(B181,'Revised 2019 Lockdown'!B$5:B$257,0))</f>
        <v>0</v>
      </c>
      <c r="H181" s="7">
        <f t="shared" si="19"/>
        <v>631790.16</v>
      </c>
      <c r="I181" s="6">
        <f t="shared" si="16"/>
        <v>2657.3718611987388</v>
      </c>
      <c r="J181" s="6">
        <f t="shared" si="20"/>
        <v>1830.1017274062599</v>
      </c>
      <c r="K181" s="5">
        <f t="shared" si="17"/>
        <v>435106.68569083826</v>
      </c>
      <c r="L181" s="4">
        <f t="shared" si="18"/>
        <v>0</v>
      </c>
      <c r="M181" s="2" cm="1">
        <f t="array" ref="M181">SUMPRODUCT(--($L$6:$L$300&lt;&gt;1),--($C$6:$C$300=$C181),$H$6:$H$300)/SUMPRODUCT(--($L$6:$L$300&lt;&gt;1),--($C$6:$C$300=$C181),$E$6:$E$300)</f>
        <v>1033.7097310360653</v>
      </c>
      <c r="N181" s="1" cm="1">
        <f t="array" ref="N181">SUMPRODUCT(--($L$6:$L$300&lt;&gt;1),--($C$6:$C$300=$C181))</f>
        <v>50</v>
      </c>
      <c r="O181" s="3">
        <f t="shared" si="21"/>
        <v>2636278.7129243906</v>
      </c>
      <c r="P181" s="2" cm="1">
        <f t="array" ref="P181">SQRT(SUMPRODUCT(--($L$6:$L$300&lt;&gt;1),--($C$6:$C$300=$C181),$E$6:$E$300,$O$6:$O$300)/((N181-1)*SUMPRODUCT(--($L$6:$L$300&lt;&gt;1),--($C$6:$C$300=$C181),$E$6:$E$300)/N181))</f>
        <v>621.42797666652189</v>
      </c>
      <c r="Q181" s="2">
        <f t="shared" si="23"/>
        <v>237.3177346658706</v>
      </c>
      <c r="R181" s="2">
        <f t="shared" si="23"/>
        <v>1830.1017274062599</v>
      </c>
      <c r="S181" s="2">
        <f t="shared" si="22"/>
        <v>1830.1017274062599</v>
      </c>
    </row>
    <row r="182" spans="2:19" x14ac:dyDescent="0.35">
      <c r="B182">
        <v>372</v>
      </c>
      <c r="C182" s="17">
        <v>8</v>
      </c>
      <c r="D182" s="22" t="s">
        <v>197</v>
      </c>
      <c r="E182" s="90">
        <f>INDEX('Revised 2019 Lockdown'!H$5:H$257,MATCH(B182,'Revised 2019 Lockdown'!B$5:B$257,0))</f>
        <v>124.59</v>
      </c>
      <c r="F182" s="7">
        <f>INDEX('Revised 2019 Lockdown'!E$5:E$257,MATCH(B182,'Revised 2019 Lockdown'!B$5:B$257,0))</f>
        <v>86253.52</v>
      </c>
      <c r="G182" s="7">
        <f>INDEX('Revised 2019 Lockdown'!F$5:F$257,MATCH(B182,'Revised 2019 Lockdown'!B$5:B$257,0))</f>
        <v>0</v>
      </c>
      <c r="H182" s="7">
        <f t="shared" si="19"/>
        <v>86253.52</v>
      </c>
      <c r="I182" s="6">
        <f t="shared" si="16"/>
        <v>692.29890039328995</v>
      </c>
      <c r="J182" s="6">
        <f t="shared" si="20"/>
        <v>692.29890039328995</v>
      </c>
      <c r="K182" s="5">
        <f t="shared" si="17"/>
        <v>86253.52</v>
      </c>
      <c r="L182" s="4">
        <f t="shared" si="18"/>
        <v>0</v>
      </c>
      <c r="M182" s="2" cm="1">
        <f t="array" ref="M182">SUMPRODUCT(--($L$6:$L$300&lt;&gt;1),--($C$6:$C$300=$C182),$H$6:$H$300)/SUMPRODUCT(--($L$6:$L$300&lt;&gt;1),--($C$6:$C$300=$C182),$E$6:$E$300)</f>
        <v>1033.7097310360653</v>
      </c>
      <c r="N182" s="1" cm="1">
        <f t="array" ref="N182">SUMPRODUCT(--($L$6:$L$300&lt;&gt;1),--($C$6:$C$300=$C182))</f>
        <v>50</v>
      </c>
      <c r="O182" s="3">
        <f t="shared" si="21"/>
        <v>116561.35528018979</v>
      </c>
      <c r="P182" s="2" cm="1">
        <f t="array" ref="P182">SQRT(SUMPRODUCT(--($L$6:$L$300&lt;&gt;1),--($C$6:$C$300=$C182),$E$6:$E$300,$O$6:$O$300)/((N182-1)*SUMPRODUCT(--($L$6:$L$300&lt;&gt;1),--($C$6:$C$300=$C182),$E$6:$E$300)/N182))</f>
        <v>621.42797666652189</v>
      </c>
      <c r="Q182" s="2">
        <f t="shared" si="23"/>
        <v>237.3177346658706</v>
      </c>
      <c r="R182" s="2">
        <f t="shared" si="23"/>
        <v>1830.1017274062599</v>
      </c>
      <c r="S182" s="2">
        <f t="shared" si="22"/>
        <v>692.29890039328995</v>
      </c>
    </row>
    <row r="183" spans="2:19" x14ac:dyDescent="0.35">
      <c r="B183">
        <v>375</v>
      </c>
      <c r="C183" s="17">
        <v>8</v>
      </c>
      <c r="D183" s="22" t="s">
        <v>198</v>
      </c>
      <c r="E183" s="90">
        <f>INDEX('Revised 2019 Lockdown'!H$5:H$257,MATCH(B183,'Revised 2019 Lockdown'!B$5:B$257,0))</f>
        <v>162.62</v>
      </c>
      <c r="F183" s="7">
        <f>INDEX('Revised 2019 Lockdown'!E$5:E$257,MATCH(B183,'Revised 2019 Lockdown'!B$5:B$257,0))</f>
        <v>231561.51</v>
      </c>
      <c r="G183" s="7">
        <f>INDEX('Revised 2019 Lockdown'!F$5:F$257,MATCH(B183,'Revised 2019 Lockdown'!B$5:B$257,0))</f>
        <v>0</v>
      </c>
      <c r="H183" s="7">
        <f t="shared" si="19"/>
        <v>231561.51</v>
      </c>
      <c r="I183" s="6">
        <f t="shared" si="16"/>
        <v>1423.9423810109458</v>
      </c>
      <c r="J183" s="6">
        <f t="shared" si="20"/>
        <v>1423.9423810109458</v>
      </c>
      <c r="K183" s="5">
        <f t="shared" si="17"/>
        <v>231561.51</v>
      </c>
      <c r="L183" s="4">
        <f t="shared" si="18"/>
        <v>0</v>
      </c>
      <c r="M183" s="2" cm="1">
        <f t="array" ref="M183">SUMPRODUCT(--($L$6:$L$300&lt;&gt;1),--($C$6:$C$300=$C183),$H$6:$H$300)/SUMPRODUCT(--($L$6:$L$300&lt;&gt;1),--($C$6:$C$300=$C183),$E$6:$E$300)</f>
        <v>1033.7097310360653</v>
      </c>
      <c r="N183" s="1" cm="1">
        <f t="array" ref="N183">SUMPRODUCT(--($L$6:$L$300&lt;&gt;1),--($C$6:$C$300=$C183))</f>
        <v>50</v>
      </c>
      <c r="O183" s="3">
        <f t="shared" si="21"/>
        <v>152281.52110641767</v>
      </c>
      <c r="P183" s="2" cm="1">
        <f t="array" ref="P183">SQRT(SUMPRODUCT(--($L$6:$L$300&lt;&gt;1),--($C$6:$C$300=$C183),$E$6:$E$300,$O$6:$O$300)/((N183-1)*SUMPRODUCT(--($L$6:$L$300&lt;&gt;1),--($C$6:$C$300=$C183),$E$6:$E$300)/N183))</f>
        <v>621.42797666652189</v>
      </c>
      <c r="Q183" s="2">
        <f t="shared" si="23"/>
        <v>237.3177346658706</v>
      </c>
      <c r="R183" s="2">
        <f t="shared" si="23"/>
        <v>1830.1017274062599</v>
      </c>
      <c r="S183" s="2">
        <f t="shared" si="22"/>
        <v>1423.9423810109458</v>
      </c>
    </row>
    <row r="184" spans="2:19" x14ac:dyDescent="0.35">
      <c r="B184">
        <v>404</v>
      </c>
      <c r="C184" s="17">
        <v>8</v>
      </c>
      <c r="D184" s="22" t="s">
        <v>199</v>
      </c>
      <c r="E184" s="90">
        <f>INDEX('Revised 2019 Lockdown'!H$5:H$257,MATCH(B184,'Revised 2019 Lockdown'!B$5:B$257,0))</f>
        <v>459.07044990472792</v>
      </c>
      <c r="F184" s="7">
        <f>INDEX('Revised 2019 Lockdown'!E$5:E$257,MATCH(B184,'Revised 2019 Lockdown'!B$5:B$257,0))</f>
        <v>301241.45</v>
      </c>
      <c r="G184" s="7">
        <f>INDEX('Revised 2019 Lockdown'!F$5:F$257,MATCH(B184,'Revised 2019 Lockdown'!B$5:B$257,0))</f>
        <v>16226.76</v>
      </c>
      <c r="H184" s="7">
        <f t="shared" si="19"/>
        <v>285014.69</v>
      </c>
      <c r="I184" s="6">
        <f t="shared" si="16"/>
        <v>620.85174521503143</v>
      </c>
      <c r="J184" s="6">
        <f t="shared" si="20"/>
        <v>620.85174521503143</v>
      </c>
      <c r="K184" s="5">
        <f t="shared" si="17"/>
        <v>285014.69</v>
      </c>
      <c r="L184" s="4">
        <f t="shared" si="18"/>
        <v>0</v>
      </c>
      <c r="M184" s="2" cm="1">
        <f t="array" ref="M184">SUMPRODUCT(--($L$6:$L$300&lt;&gt;1),--($C$6:$C$300=$C184),$H$6:$H$300)/SUMPRODUCT(--($L$6:$L$300&lt;&gt;1),--($C$6:$C$300=$C184),$E$6:$E$300)</f>
        <v>1033.7097310360653</v>
      </c>
      <c r="N184" s="1" cm="1">
        <f t="array" ref="N184">SUMPRODUCT(--($L$6:$L$300&lt;&gt;1),--($C$6:$C$300=$C184))</f>
        <v>50</v>
      </c>
      <c r="O184" s="3">
        <f t="shared" si="21"/>
        <v>170451.71645620096</v>
      </c>
      <c r="P184" s="2" cm="1">
        <f t="array" ref="P184">SQRT(SUMPRODUCT(--($L$6:$L$300&lt;&gt;1),--($C$6:$C$300=$C184),$E$6:$E$300,$O$6:$O$300)/((N184-1)*SUMPRODUCT(--($L$6:$L$300&lt;&gt;1),--($C$6:$C$300=$C184),$E$6:$E$300)/N184))</f>
        <v>621.42797666652189</v>
      </c>
      <c r="Q184" s="2">
        <f t="shared" si="23"/>
        <v>237.3177346658706</v>
      </c>
      <c r="R184" s="2">
        <f t="shared" si="23"/>
        <v>1830.1017274062599</v>
      </c>
      <c r="S184" s="2">
        <f t="shared" si="22"/>
        <v>620.85174521503143</v>
      </c>
    </row>
    <row r="185" spans="2:19" x14ac:dyDescent="0.35">
      <c r="B185">
        <v>413</v>
      </c>
      <c r="C185" s="17">
        <v>8</v>
      </c>
      <c r="D185" s="22" t="s">
        <v>200</v>
      </c>
      <c r="E185" s="90">
        <f>INDEX('Revised 2019 Lockdown'!H$5:H$257,MATCH(B185,'Revised 2019 Lockdown'!B$5:B$257,0))</f>
        <v>76.8</v>
      </c>
      <c r="F185" s="7">
        <f>INDEX('Revised 2019 Lockdown'!E$5:E$257,MATCH(B185,'Revised 2019 Lockdown'!B$5:B$257,0))</f>
        <v>92788.2</v>
      </c>
      <c r="G185" s="7">
        <f>INDEX('Revised 2019 Lockdown'!F$5:F$257,MATCH(B185,'Revised 2019 Lockdown'!B$5:B$257,0))</f>
        <v>110</v>
      </c>
      <c r="H185" s="7">
        <f t="shared" si="19"/>
        <v>92678.2</v>
      </c>
      <c r="I185" s="6">
        <f t="shared" si="16"/>
        <v>1206.7473958333333</v>
      </c>
      <c r="J185" s="6">
        <f t="shared" si="20"/>
        <v>1206.7473958333333</v>
      </c>
      <c r="K185" s="5">
        <f t="shared" si="17"/>
        <v>92678.2</v>
      </c>
      <c r="L185" s="4">
        <f t="shared" si="18"/>
        <v>0</v>
      </c>
      <c r="M185" s="2" cm="1">
        <f t="array" ref="M185">SUMPRODUCT(--($L$6:$L$300&lt;&gt;1),--($C$6:$C$300=$C185),$H$6:$H$300)/SUMPRODUCT(--($L$6:$L$300&lt;&gt;1),--($C$6:$C$300=$C185),$E$6:$E$300)</f>
        <v>1033.7097310360653</v>
      </c>
      <c r="N185" s="1" cm="1">
        <f t="array" ref="N185">SUMPRODUCT(--($L$6:$L$300&lt;&gt;1),--($C$6:$C$300=$C185))</f>
        <v>50</v>
      </c>
      <c r="O185" s="3">
        <f t="shared" si="21"/>
        <v>29942.033438491682</v>
      </c>
      <c r="P185" s="2" cm="1">
        <f t="array" ref="P185">SQRT(SUMPRODUCT(--($L$6:$L$300&lt;&gt;1),--($C$6:$C$300=$C185),$E$6:$E$300,$O$6:$O$300)/((N185-1)*SUMPRODUCT(--($L$6:$L$300&lt;&gt;1),--($C$6:$C$300=$C185),$E$6:$E$300)/N185))</f>
        <v>621.42797666652189</v>
      </c>
      <c r="Q185" s="2">
        <f t="shared" si="23"/>
        <v>237.3177346658706</v>
      </c>
      <c r="R185" s="2">
        <f t="shared" si="23"/>
        <v>1830.1017274062599</v>
      </c>
      <c r="S185" s="2">
        <f t="shared" si="22"/>
        <v>1206.7473958333333</v>
      </c>
    </row>
    <row r="186" spans="2:19" x14ac:dyDescent="0.35">
      <c r="B186">
        <v>537</v>
      </c>
      <c r="C186" s="17">
        <v>8</v>
      </c>
      <c r="D186" s="22" t="s">
        <v>201</v>
      </c>
      <c r="E186" s="90">
        <f>INDEX('Revised 2019 Lockdown'!H$5:H$257,MATCH(B186,'Revised 2019 Lockdown'!B$5:B$257,0))</f>
        <v>9.7918986885088461</v>
      </c>
      <c r="F186" s="7">
        <f>INDEX('Revised 2019 Lockdown'!E$5:E$257,MATCH(B186,'Revised 2019 Lockdown'!B$5:B$257,0))</f>
        <v>8112.34</v>
      </c>
      <c r="G186" s="7">
        <f>INDEX('Revised 2019 Lockdown'!F$5:F$257,MATCH(B186,'Revised 2019 Lockdown'!B$5:B$257,0))</f>
        <v>0</v>
      </c>
      <c r="H186" s="7">
        <f t="shared" si="19"/>
        <v>8112.34</v>
      </c>
      <c r="I186" s="6">
        <f t="shared" si="16"/>
        <v>828.47466646281077</v>
      </c>
      <c r="J186" s="6">
        <f t="shared" si="20"/>
        <v>828.47466646281077</v>
      </c>
      <c r="K186" s="5">
        <f t="shared" si="17"/>
        <v>8112.34</v>
      </c>
      <c r="L186" s="4">
        <f t="shared" si="18"/>
        <v>0</v>
      </c>
      <c r="M186" s="2" cm="1">
        <f t="array" ref="M186">SUMPRODUCT(--($L$6:$L$300&lt;&gt;1),--($C$6:$C$300=$C186),$H$6:$H$300)/SUMPRODUCT(--($L$6:$L$300&lt;&gt;1),--($C$6:$C$300=$C186),$E$6:$E$300)</f>
        <v>1033.7097310360653</v>
      </c>
      <c r="N186" s="1" cm="1">
        <f t="array" ref="N186">SUMPRODUCT(--($L$6:$L$300&lt;&gt;1),--($C$6:$C$300=$C186))</f>
        <v>50</v>
      </c>
      <c r="O186" s="3">
        <f t="shared" si="21"/>
        <v>42121.431730387936</v>
      </c>
      <c r="P186" s="2" cm="1">
        <f t="array" ref="P186">SQRT(SUMPRODUCT(--($L$6:$L$300&lt;&gt;1),--($C$6:$C$300=$C186),$E$6:$E$300,$O$6:$O$300)/((N186-1)*SUMPRODUCT(--($L$6:$L$300&lt;&gt;1),--($C$6:$C$300=$C186),$E$6:$E$300)/N186))</f>
        <v>621.42797666652189</v>
      </c>
      <c r="Q186" s="2">
        <f t="shared" si="23"/>
        <v>237.3177346658706</v>
      </c>
      <c r="R186" s="2">
        <f t="shared" si="23"/>
        <v>1830.1017274062599</v>
      </c>
      <c r="S186" s="2">
        <f t="shared" si="22"/>
        <v>828.47466646281077</v>
      </c>
    </row>
    <row r="187" spans="2:19" x14ac:dyDescent="0.35">
      <c r="B187">
        <v>545</v>
      </c>
      <c r="C187" s="17">
        <v>8</v>
      </c>
      <c r="D187" s="22" t="s">
        <v>202</v>
      </c>
      <c r="E187" s="90">
        <f>INDEX('Revised 2019 Lockdown'!H$5:H$257,MATCH(B187,'Revised 2019 Lockdown'!B$5:B$257,0))</f>
        <v>14.800550827676549</v>
      </c>
      <c r="F187" s="7">
        <f>INDEX('Revised 2019 Lockdown'!E$5:E$257,MATCH(B187,'Revised 2019 Lockdown'!B$5:B$257,0))</f>
        <v>8088.84</v>
      </c>
      <c r="G187" s="7">
        <f>INDEX('Revised 2019 Lockdown'!F$5:F$257,MATCH(B187,'Revised 2019 Lockdown'!B$5:B$257,0))</f>
        <v>0</v>
      </c>
      <c r="H187" s="7">
        <f t="shared" si="19"/>
        <v>8088.84</v>
      </c>
      <c r="I187" s="6">
        <f t="shared" si="16"/>
        <v>546.52290270671085</v>
      </c>
      <c r="J187" s="6">
        <f t="shared" si="20"/>
        <v>546.52290270671085</v>
      </c>
      <c r="K187" s="5">
        <f t="shared" si="17"/>
        <v>8088.8399999999992</v>
      </c>
      <c r="L187" s="4">
        <f t="shared" si="18"/>
        <v>0</v>
      </c>
      <c r="M187" s="2" cm="1">
        <f t="array" ref="M187">SUMPRODUCT(--($L$6:$L$300&lt;&gt;1),--($C$6:$C$300=$C187),$H$6:$H$300)/SUMPRODUCT(--($L$6:$L$300&lt;&gt;1),--($C$6:$C$300=$C187),$E$6:$E$300)</f>
        <v>1033.7097310360653</v>
      </c>
      <c r="N187" s="1" cm="1">
        <f t="array" ref="N187">SUMPRODUCT(--($L$6:$L$300&lt;&gt;1),--($C$6:$C$300=$C187))</f>
        <v>50</v>
      </c>
      <c r="O187" s="3">
        <f t="shared" si="21"/>
        <v>237351.00569761582</v>
      </c>
      <c r="P187" s="2" cm="1">
        <f t="array" ref="P187">SQRT(SUMPRODUCT(--($L$6:$L$300&lt;&gt;1),--($C$6:$C$300=$C187),$E$6:$E$300,$O$6:$O$300)/((N187-1)*SUMPRODUCT(--($L$6:$L$300&lt;&gt;1),--($C$6:$C$300=$C187),$E$6:$E$300)/N187))</f>
        <v>621.42797666652189</v>
      </c>
      <c r="Q187" s="2">
        <f t="shared" si="23"/>
        <v>237.3177346658706</v>
      </c>
      <c r="R187" s="2">
        <f t="shared" si="23"/>
        <v>1830.1017274062599</v>
      </c>
      <c r="S187" s="2">
        <f t="shared" si="22"/>
        <v>546.52290270671085</v>
      </c>
    </row>
    <row r="188" spans="2:19" x14ac:dyDescent="0.35">
      <c r="B188">
        <v>602</v>
      </c>
      <c r="C188" s="17">
        <v>8</v>
      </c>
      <c r="D188" s="22" t="s">
        <v>350</v>
      </c>
      <c r="E188" s="90">
        <f>INDEX('Revised 2019 Lockdown'!H$5:H$257,MATCH(B188,'Revised 2019 Lockdown'!B$5:B$257,0))</f>
        <v>15.286633204362731</v>
      </c>
      <c r="F188" s="7">
        <f>INDEX('Revised 2019 Lockdown'!E$5:E$257,MATCH(B188,'Revised 2019 Lockdown'!B$5:B$257,0))</f>
        <v>26328.83</v>
      </c>
      <c r="G188" s="7">
        <f>INDEX('Revised 2019 Lockdown'!F$5:F$257,MATCH(B188,'Revised 2019 Lockdown'!B$5:B$257,0))</f>
        <v>0</v>
      </c>
      <c r="H188" s="7">
        <f t="shared" si="19"/>
        <v>26328.83</v>
      </c>
      <c r="I188" s="6">
        <f t="shared" si="16"/>
        <v>1722.3432817427633</v>
      </c>
      <c r="J188" s="6">
        <f t="shared" si="20"/>
        <v>1722.3432817427633</v>
      </c>
      <c r="K188" s="5">
        <f t="shared" si="17"/>
        <v>26328.83</v>
      </c>
      <c r="L188" s="4">
        <f t="shared" si="18"/>
        <v>0</v>
      </c>
      <c r="M188" s="2" cm="1">
        <f t="array" ref="M188">SUMPRODUCT(--($L$6:$L$300&lt;&gt;1),--($C$6:$C$300=$C188),$H$6:$H$300)/SUMPRODUCT(--($L$6:$L$300&lt;&gt;1),--($C$6:$C$300=$C188),$E$6:$E$300)</f>
        <v>1033.7097310360653</v>
      </c>
      <c r="N188" s="1" cm="1">
        <f t="array" ref="N188">SUMPRODUCT(--($L$6:$L$300&lt;&gt;1),--($C$6:$C$300=$C188))</f>
        <v>50</v>
      </c>
      <c r="O188" s="3">
        <f t="shared" si="21"/>
        <v>474216.16715891456</v>
      </c>
      <c r="P188" s="2" cm="1">
        <f t="array" ref="P188">SQRT(SUMPRODUCT(--($L$6:$L$300&lt;&gt;1),--($C$6:$C$300=$C188),$E$6:$E$300,$O$6:$O$300)/((N188-1)*SUMPRODUCT(--($L$6:$L$300&lt;&gt;1),--($C$6:$C$300=$C188),$E$6:$E$300)/N188))</f>
        <v>621.42797666652189</v>
      </c>
      <c r="Q188" s="2">
        <f t="shared" si="23"/>
        <v>237.3177346658706</v>
      </c>
      <c r="R188" s="2">
        <f t="shared" si="23"/>
        <v>1830.1017274062599</v>
      </c>
      <c r="S188" s="2">
        <f t="shared" si="22"/>
        <v>1722.3432817427633</v>
      </c>
    </row>
    <row r="189" spans="2:19" x14ac:dyDescent="0.35">
      <c r="B189">
        <v>605</v>
      </c>
      <c r="C189" s="17">
        <v>8</v>
      </c>
      <c r="D189" s="22" t="s">
        <v>203</v>
      </c>
      <c r="E189" s="90">
        <f>INDEX('Revised 2019 Lockdown'!H$5:H$257,MATCH(B189,'Revised 2019 Lockdown'!B$5:B$257,0))</f>
        <v>11.743233894780035</v>
      </c>
      <c r="F189" s="7">
        <f>INDEX('Revised 2019 Lockdown'!E$5:E$257,MATCH(B189,'Revised 2019 Lockdown'!B$5:B$257,0))</f>
        <v>8356.2900000000009</v>
      </c>
      <c r="G189" s="7">
        <f>INDEX('Revised 2019 Lockdown'!F$5:F$257,MATCH(B189,'Revised 2019 Lockdown'!B$5:B$257,0))</f>
        <v>0</v>
      </c>
      <c r="H189" s="7">
        <f t="shared" si="19"/>
        <v>8356.2900000000009</v>
      </c>
      <c r="I189" s="6">
        <f t="shared" si="16"/>
        <v>711.58337429644837</v>
      </c>
      <c r="J189" s="6">
        <f t="shared" si="20"/>
        <v>711.58337429644837</v>
      </c>
      <c r="K189" s="5">
        <f t="shared" si="17"/>
        <v>8356.2900000000009</v>
      </c>
      <c r="L189" s="4">
        <f t="shared" si="18"/>
        <v>0</v>
      </c>
      <c r="M189" s="2" cm="1">
        <f t="array" ref="M189">SUMPRODUCT(--($L$6:$L$300&lt;&gt;1),--($C$6:$C$300=$C189),$H$6:$H$300)/SUMPRODUCT(--($L$6:$L$300&lt;&gt;1),--($C$6:$C$300=$C189),$E$6:$E$300)</f>
        <v>1033.7097310360653</v>
      </c>
      <c r="N189" s="1" cm="1">
        <f t="array" ref="N189">SUMPRODUCT(--($L$6:$L$300&lt;&gt;1),--($C$6:$C$300=$C189))</f>
        <v>50</v>
      </c>
      <c r="O189" s="3">
        <f t="shared" si="21"/>
        <v>103765.38970633892</v>
      </c>
      <c r="P189" s="2" cm="1">
        <f t="array" ref="P189">SQRT(SUMPRODUCT(--($L$6:$L$300&lt;&gt;1),--($C$6:$C$300=$C189),$E$6:$E$300,$O$6:$O$300)/((N189-1)*SUMPRODUCT(--($L$6:$L$300&lt;&gt;1),--($C$6:$C$300=$C189),$E$6:$E$300)/N189))</f>
        <v>621.42797666652189</v>
      </c>
      <c r="Q189" s="2">
        <f t="shared" si="23"/>
        <v>237.3177346658706</v>
      </c>
      <c r="R189" s="2">
        <f t="shared" si="23"/>
        <v>1830.1017274062599</v>
      </c>
      <c r="S189" s="2">
        <f t="shared" si="22"/>
        <v>711.58337429644837</v>
      </c>
    </row>
    <row r="190" spans="2:19" x14ac:dyDescent="0.35">
      <c r="B190">
        <v>607</v>
      </c>
      <c r="C190" s="17">
        <v>8</v>
      </c>
      <c r="D190" s="22" t="s">
        <v>204</v>
      </c>
      <c r="E190" s="90">
        <f>INDEX('Revised 2019 Lockdown'!H$5:H$257,MATCH(B190,'Revised 2019 Lockdown'!B$5:B$257,0))</f>
        <v>17.618373107885343</v>
      </c>
      <c r="F190" s="7">
        <f>INDEX('Revised 2019 Lockdown'!E$5:E$257,MATCH(B190,'Revised 2019 Lockdown'!B$5:B$257,0))</f>
        <v>12544.93</v>
      </c>
      <c r="G190" s="7">
        <f>INDEX('Revised 2019 Lockdown'!F$5:F$257,MATCH(B190,'Revised 2019 Lockdown'!B$5:B$257,0))</f>
        <v>0</v>
      </c>
      <c r="H190" s="7">
        <f t="shared" si="19"/>
        <v>12544.93</v>
      </c>
      <c r="I190" s="6">
        <f t="shared" si="16"/>
        <v>712.0367994923065</v>
      </c>
      <c r="J190" s="6">
        <f t="shared" si="20"/>
        <v>712.0367994923065</v>
      </c>
      <c r="K190" s="5">
        <f t="shared" si="17"/>
        <v>12544.93</v>
      </c>
      <c r="L190" s="4">
        <f t="shared" si="18"/>
        <v>0</v>
      </c>
      <c r="M190" s="2" cm="1">
        <f t="array" ref="M190">SUMPRODUCT(--($L$6:$L$300&lt;&gt;1),--($C$6:$C$300=$C190),$H$6:$H$300)/SUMPRODUCT(--($L$6:$L$300&lt;&gt;1),--($C$6:$C$300=$C190),$E$6:$E$300)</f>
        <v>1033.7097310360653</v>
      </c>
      <c r="N190" s="1" cm="1">
        <f t="array" ref="N190">SUMPRODUCT(--($L$6:$L$300&lt;&gt;1),--($C$6:$C$300=$C190))</f>
        <v>50</v>
      </c>
      <c r="O190" s="3">
        <f t="shared" si="21"/>
        <v>103473.4748879557</v>
      </c>
      <c r="P190" s="2" cm="1">
        <f t="array" ref="P190">SQRT(SUMPRODUCT(--($L$6:$L$300&lt;&gt;1),--($C$6:$C$300=$C190),$E$6:$E$300,$O$6:$O$300)/((N190-1)*SUMPRODUCT(--($L$6:$L$300&lt;&gt;1),--($C$6:$C$300=$C190),$E$6:$E$300)/N190))</f>
        <v>621.42797666652189</v>
      </c>
      <c r="Q190" s="2">
        <f t="shared" si="23"/>
        <v>237.3177346658706</v>
      </c>
      <c r="R190" s="2">
        <f t="shared" si="23"/>
        <v>1830.1017274062599</v>
      </c>
      <c r="S190" s="2">
        <f t="shared" si="22"/>
        <v>712.0367994923065</v>
      </c>
    </row>
    <row r="191" spans="2:19" x14ac:dyDescent="0.35">
      <c r="B191">
        <v>610</v>
      </c>
      <c r="C191" s="17">
        <v>8</v>
      </c>
      <c r="D191" s="22" t="s">
        <v>205</v>
      </c>
      <c r="E191" s="90">
        <f>INDEX('Revised 2019 Lockdown'!H$5:H$257,MATCH(B191,'Revised 2019 Lockdown'!B$5:B$257,0))</f>
        <v>75.671529349767766</v>
      </c>
      <c r="F191" s="7">
        <f>INDEX('Revised 2019 Lockdown'!E$5:E$257,MATCH(B191,'Revised 2019 Lockdown'!B$5:B$257,0))</f>
        <v>39395.15</v>
      </c>
      <c r="G191" s="7">
        <f>INDEX('Revised 2019 Lockdown'!F$5:F$257,MATCH(B191,'Revised 2019 Lockdown'!B$5:B$257,0))</f>
        <v>0</v>
      </c>
      <c r="H191" s="7">
        <f t="shared" si="19"/>
        <v>39395.15</v>
      </c>
      <c r="I191" s="6">
        <f t="shared" si="16"/>
        <v>520.60729231344533</v>
      </c>
      <c r="J191" s="6">
        <f t="shared" si="20"/>
        <v>520.60729231344533</v>
      </c>
      <c r="K191" s="5">
        <f t="shared" si="17"/>
        <v>39395.15</v>
      </c>
      <c r="L191" s="4">
        <f t="shared" si="18"/>
        <v>0</v>
      </c>
      <c r="M191" s="2" cm="1">
        <f t="array" ref="M191">SUMPRODUCT(--($L$6:$L$300&lt;&gt;1),--($C$6:$C$300=$C191),$H$6:$H$300)/SUMPRODUCT(--($L$6:$L$300&lt;&gt;1),--($C$6:$C$300=$C191),$E$6:$E$300)</f>
        <v>1033.7097310360653</v>
      </c>
      <c r="N191" s="1" cm="1">
        <f t="array" ref="N191">SUMPRODUCT(--($L$6:$L$300&lt;&gt;1),--($C$6:$C$300=$C191))</f>
        <v>50</v>
      </c>
      <c r="O191" s="3">
        <f t="shared" si="21"/>
        <v>263274.11262309994</v>
      </c>
      <c r="P191" s="2" cm="1">
        <f t="array" ref="P191">SQRT(SUMPRODUCT(--($L$6:$L$300&lt;&gt;1),--($C$6:$C$300=$C191),$E$6:$E$300,$O$6:$O$300)/((N191-1)*SUMPRODUCT(--($L$6:$L$300&lt;&gt;1),--($C$6:$C$300=$C191),$E$6:$E$300)/N191))</f>
        <v>621.42797666652189</v>
      </c>
      <c r="Q191" s="2">
        <f t="shared" si="23"/>
        <v>237.3177346658706</v>
      </c>
      <c r="R191" s="2">
        <f t="shared" si="23"/>
        <v>1830.1017274062599</v>
      </c>
      <c r="S191" s="2">
        <f t="shared" si="22"/>
        <v>520.60729231344533</v>
      </c>
    </row>
    <row r="192" spans="2:19" x14ac:dyDescent="0.35">
      <c r="B192">
        <v>611</v>
      </c>
      <c r="C192" s="17">
        <v>8</v>
      </c>
      <c r="D192" s="22" t="s">
        <v>206</v>
      </c>
      <c r="E192" s="90">
        <f>INDEX('Revised 2019 Lockdown'!H$5:H$257,MATCH(B192,'Revised 2019 Lockdown'!B$5:B$257,0))</f>
        <v>19.780665332856973</v>
      </c>
      <c r="F192" s="7">
        <f>INDEX('Revised 2019 Lockdown'!E$5:E$257,MATCH(B192,'Revised 2019 Lockdown'!B$5:B$257,0))</f>
        <v>37334.879999999997</v>
      </c>
      <c r="G192" s="7">
        <f>INDEX('Revised 2019 Lockdown'!F$5:F$257,MATCH(B192,'Revised 2019 Lockdown'!B$5:B$257,0))</f>
        <v>0</v>
      </c>
      <c r="H192" s="7">
        <f t="shared" si="19"/>
        <v>37334.879999999997</v>
      </c>
      <c r="I192" s="6">
        <f t="shared" si="16"/>
        <v>1887.4430850404374</v>
      </c>
      <c r="J192" s="6">
        <f t="shared" si="20"/>
        <v>1830.1017274062599</v>
      </c>
      <c r="K192" s="5">
        <f t="shared" si="17"/>
        <v>36200.629794906665</v>
      </c>
      <c r="L192" s="4">
        <f t="shared" si="18"/>
        <v>0</v>
      </c>
      <c r="M192" s="2" cm="1">
        <f t="array" ref="M192">SUMPRODUCT(--($L$6:$L$300&lt;&gt;1),--($C$6:$C$300=$C192),$H$6:$H$300)/SUMPRODUCT(--($L$6:$L$300&lt;&gt;1),--($C$6:$C$300=$C192),$E$6:$E$300)</f>
        <v>1033.7097310360653</v>
      </c>
      <c r="N192" s="1" cm="1">
        <f t="array" ref="N192">SUMPRODUCT(--($L$6:$L$300&lt;&gt;1),--($C$6:$C$300=$C192))</f>
        <v>50</v>
      </c>
      <c r="O192" s="3">
        <f t="shared" si="21"/>
        <v>728860.63973955461</v>
      </c>
      <c r="P192" s="2" cm="1">
        <f t="array" ref="P192">SQRT(SUMPRODUCT(--($L$6:$L$300&lt;&gt;1),--($C$6:$C$300=$C192),$E$6:$E$300,$O$6:$O$300)/((N192-1)*SUMPRODUCT(--($L$6:$L$300&lt;&gt;1),--($C$6:$C$300=$C192),$E$6:$E$300)/N192))</f>
        <v>621.42797666652189</v>
      </c>
      <c r="Q192" s="2">
        <f t="shared" si="23"/>
        <v>237.3177346658706</v>
      </c>
      <c r="R192" s="2">
        <f t="shared" si="23"/>
        <v>1830.1017274062599</v>
      </c>
      <c r="S192" s="2">
        <f t="shared" si="22"/>
        <v>1830.1017274062599</v>
      </c>
    </row>
    <row r="193" spans="2:19" x14ac:dyDescent="0.35">
      <c r="B193">
        <v>616</v>
      </c>
      <c r="C193" s="17">
        <v>8</v>
      </c>
      <c r="D193" s="22" t="s">
        <v>207</v>
      </c>
      <c r="E193" s="90">
        <f>INDEX('Revised 2019 Lockdown'!H$5:H$257,MATCH(B193,'Revised 2019 Lockdown'!B$5:B$257,0))</f>
        <v>164.92000000000002</v>
      </c>
      <c r="F193" s="7">
        <f>INDEX('Revised 2019 Lockdown'!E$5:E$257,MATCH(B193,'Revised 2019 Lockdown'!B$5:B$257,0))</f>
        <v>264029.39</v>
      </c>
      <c r="G193" s="7">
        <f>INDEX('Revised 2019 Lockdown'!F$5:F$257,MATCH(B193,'Revised 2019 Lockdown'!B$5:B$257,0))</f>
        <v>0</v>
      </c>
      <c r="H193" s="7">
        <f t="shared" si="19"/>
        <v>264029.39</v>
      </c>
      <c r="I193" s="6">
        <f t="shared" si="16"/>
        <v>1600.9543414989084</v>
      </c>
      <c r="J193" s="6">
        <f t="shared" si="20"/>
        <v>1600.9543414989084</v>
      </c>
      <c r="K193" s="5">
        <f t="shared" si="17"/>
        <v>264029.39</v>
      </c>
      <c r="L193" s="4">
        <f t="shared" si="18"/>
        <v>0</v>
      </c>
      <c r="M193" s="2" cm="1">
        <f t="array" ref="M193">SUMPRODUCT(--($L$6:$L$300&lt;&gt;1),--($C$6:$C$300=$C193),$H$6:$H$300)/SUMPRODUCT(--($L$6:$L$300&lt;&gt;1),--($C$6:$C$300=$C193),$E$6:$E$300)</f>
        <v>1033.7097310360653</v>
      </c>
      <c r="N193" s="1" cm="1">
        <f t="array" ref="N193">SUMPRODUCT(--($L$6:$L$300&lt;&gt;1),--($C$6:$C$300=$C193))</f>
        <v>50</v>
      </c>
      <c r="O193" s="3">
        <f t="shared" si="21"/>
        <v>321766.4480991427</v>
      </c>
      <c r="P193" s="2" cm="1">
        <f t="array" ref="P193">SQRT(SUMPRODUCT(--($L$6:$L$300&lt;&gt;1),--($C$6:$C$300=$C193),$E$6:$E$300,$O$6:$O$300)/((N193-1)*SUMPRODUCT(--($L$6:$L$300&lt;&gt;1),--($C$6:$C$300=$C193),$E$6:$E$300)/N193))</f>
        <v>621.42797666652189</v>
      </c>
      <c r="Q193" s="2">
        <f t="shared" si="23"/>
        <v>237.3177346658706</v>
      </c>
      <c r="R193" s="2">
        <f t="shared" si="23"/>
        <v>1830.1017274062599</v>
      </c>
      <c r="S193" s="2">
        <f t="shared" si="22"/>
        <v>1600.9543414989084</v>
      </c>
    </row>
    <row r="194" spans="2:19" x14ac:dyDescent="0.35">
      <c r="B194">
        <v>637</v>
      </c>
      <c r="C194" s="17">
        <v>8</v>
      </c>
      <c r="D194" s="22" t="s">
        <v>351</v>
      </c>
      <c r="E194" s="90">
        <f>INDEX('Revised 2019 Lockdown'!H$5:H$257,MATCH(B194,'Revised 2019 Lockdown'!B$5:B$257,0))</f>
        <v>11.1622</v>
      </c>
      <c r="F194" s="7">
        <f>INDEX('Revised 2019 Lockdown'!E$5:E$257,MATCH(B194,'Revised 2019 Lockdown'!B$5:B$257,0))</f>
        <v>24131.66</v>
      </c>
      <c r="G194" s="7">
        <f>INDEX('Revised 2019 Lockdown'!F$5:F$257,MATCH(B194,'Revised 2019 Lockdown'!B$5:B$257,0))</f>
        <v>0</v>
      </c>
      <c r="H194" s="7">
        <f t="shared" si="19"/>
        <v>24131.66</v>
      </c>
      <c r="I194" s="6">
        <f t="shared" si="16"/>
        <v>2161.9089426815503</v>
      </c>
      <c r="J194" s="6">
        <f t="shared" si="20"/>
        <v>1830.1017274062599</v>
      </c>
      <c r="K194" s="5">
        <f t="shared" si="17"/>
        <v>20427.961501654154</v>
      </c>
      <c r="L194" s="4">
        <f t="shared" si="18"/>
        <v>0</v>
      </c>
      <c r="M194" s="2" cm="1">
        <f t="array" ref="M194">SUMPRODUCT(--($L$6:$L$300&lt;&gt;1),--($C$6:$C$300=$C194),$H$6:$H$300)/SUMPRODUCT(--($L$6:$L$300&lt;&gt;1),--($C$6:$C$300=$C194),$E$6:$E$300)</f>
        <v>1033.7097310360653</v>
      </c>
      <c r="N194" s="1" cm="1">
        <f t="array" ref="N194">SUMPRODUCT(--($L$6:$L$300&lt;&gt;1),--($C$6:$C$300=$C194))</f>
        <v>50</v>
      </c>
      <c r="O194" s="3">
        <f t="shared" si="21"/>
        <v>1272833.461157494</v>
      </c>
      <c r="P194" s="2" cm="1">
        <f t="array" ref="P194">SQRT(SUMPRODUCT(--($L$6:$L$300&lt;&gt;1),--($C$6:$C$300=$C194),$E$6:$E$300,$O$6:$O$300)/((N194-1)*SUMPRODUCT(--($L$6:$L$300&lt;&gt;1),--($C$6:$C$300=$C194),$E$6:$E$300)/N194))</f>
        <v>621.42797666652189</v>
      </c>
      <c r="Q194" s="2">
        <f t="shared" si="23"/>
        <v>237.3177346658706</v>
      </c>
      <c r="R194" s="2">
        <f t="shared" si="23"/>
        <v>1830.1017274062599</v>
      </c>
      <c r="S194" s="2">
        <f t="shared" si="22"/>
        <v>1830.1017274062599</v>
      </c>
    </row>
    <row r="195" spans="2:19" x14ac:dyDescent="0.35">
      <c r="B195">
        <v>638</v>
      </c>
      <c r="C195" s="17">
        <v>8</v>
      </c>
      <c r="D195" s="22" t="s">
        <v>208</v>
      </c>
      <c r="E195" s="90">
        <f>INDEX('Revised 2019 Lockdown'!H$5:H$257,MATCH(B195,'Revised 2019 Lockdown'!B$5:B$257,0))</f>
        <v>11.482586231848504</v>
      </c>
      <c r="F195" s="7">
        <f>INDEX('Revised 2019 Lockdown'!E$5:E$257,MATCH(B195,'Revised 2019 Lockdown'!B$5:B$257,0))</f>
        <v>19979.61</v>
      </c>
      <c r="G195" s="7">
        <f>INDEX('Revised 2019 Lockdown'!F$5:F$257,MATCH(B195,'Revised 2019 Lockdown'!B$5:B$257,0))</f>
        <v>0</v>
      </c>
      <c r="H195" s="7">
        <f t="shared" si="19"/>
        <v>19979.61</v>
      </c>
      <c r="I195" s="6">
        <f t="shared" si="16"/>
        <v>1739.9921582634279</v>
      </c>
      <c r="J195" s="6">
        <f t="shared" si="20"/>
        <v>1739.9921582634279</v>
      </c>
      <c r="K195" s="5">
        <f t="shared" si="17"/>
        <v>19979.61</v>
      </c>
      <c r="L195" s="4">
        <f t="shared" si="18"/>
        <v>0</v>
      </c>
      <c r="M195" s="2" cm="1">
        <f t="array" ref="M195">SUMPRODUCT(--($L$6:$L$300&lt;&gt;1),--($C$6:$C$300=$C195),$H$6:$H$300)/SUMPRODUCT(--($L$6:$L$300&lt;&gt;1),--($C$6:$C$300=$C195),$E$6:$E$300)</f>
        <v>1033.7097310360653</v>
      </c>
      <c r="N195" s="1" cm="1">
        <f t="array" ref="N195">SUMPRODUCT(--($L$6:$L$300&lt;&gt;1),--($C$6:$C$300=$C195))</f>
        <v>50</v>
      </c>
      <c r="O195" s="3">
        <f t="shared" si="21"/>
        <v>498834.86701017478</v>
      </c>
      <c r="P195" s="2" cm="1">
        <f t="array" ref="P195">SQRT(SUMPRODUCT(--($L$6:$L$300&lt;&gt;1),--($C$6:$C$300=$C195),$E$6:$E$300,$O$6:$O$300)/((N195-1)*SUMPRODUCT(--($L$6:$L$300&lt;&gt;1),--($C$6:$C$300=$C195),$E$6:$E$300)/N195))</f>
        <v>621.42797666652189</v>
      </c>
      <c r="Q195" s="2">
        <f t="shared" si="23"/>
        <v>237.3177346658706</v>
      </c>
      <c r="R195" s="2">
        <f t="shared" si="23"/>
        <v>1830.1017274062599</v>
      </c>
      <c r="S195" s="2">
        <f t="shared" si="22"/>
        <v>1739.9921582634279</v>
      </c>
    </row>
    <row r="196" spans="2:19" x14ac:dyDescent="0.35">
      <c r="B196">
        <v>639</v>
      </c>
      <c r="C196" s="17">
        <v>8</v>
      </c>
      <c r="D196" s="22" t="s">
        <v>209</v>
      </c>
      <c r="E196" s="90">
        <f>INDEX('Revised 2019 Lockdown'!H$5:H$257,MATCH(B196,'Revised 2019 Lockdown'!B$5:B$257,0))</f>
        <v>26.744088597118019</v>
      </c>
      <c r="F196" s="7">
        <f>INDEX('Revised 2019 Lockdown'!E$5:E$257,MATCH(B196,'Revised 2019 Lockdown'!B$5:B$257,0))</f>
        <v>19587.5</v>
      </c>
      <c r="G196" s="7">
        <f>INDEX('Revised 2019 Lockdown'!F$5:F$257,MATCH(B196,'Revised 2019 Lockdown'!B$5:B$257,0))</f>
        <v>0</v>
      </c>
      <c r="H196" s="7">
        <f t="shared" si="19"/>
        <v>19587.5</v>
      </c>
      <c r="I196" s="6">
        <f t="shared" si="16"/>
        <v>732.40484262046516</v>
      </c>
      <c r="J196" s="6">
        <f t="shared" si="20"/>
        <v>732.40484262046516</v>
      </c>
      <c r="K196" s="5">
        <f t="shared" si="17"/>
        <v>19587.5</v>
      </c>
      <c r="L196" s="4">
        <f t="shared" si="18"/>
        <v>0</v>
      </c>
      <c r="M196" s="2" cm="1">
        <f t="array" ref="M196">SUMPRODUCT(--($L$6:$L$300&lt;&gt;1),--($C$6:$C$300=$C196),$H$6:$H$300)/SUMPRODUCT(--($L$6:$L$300&lt;&gt;1),--($C$6:$C$300=$C196),$E$6:$E$300)</f>
        <v>1033.7097310360653</v>
      </c>
      <c r="N196" s="1" cm="1">
        <f t="array" ref="N196">SUMPRODUCT(--($L$6:$L$300&lt;&gt;1),--($C$6:$C$300=$C196))</f>
        <v>50</v>
      </c>
      <c r="O196" s="3">
        <f t="shared" si="21"/>
        <v>90784.635783137215</v>
      </c>
      <c r="P196" s="2" cm="1">
        <f t="array" ref="P196">SQRT(SUMPRODUCT(--($L$6:$L$300&lt;&gt;1),--($C$6:$C$300=$C196),$E$6:$E$300,$O$6:$O$300)/((N196-1)*SUMPRODUCT(--($L$6:$L$300&lt;&gt;1),--($C$6:$C$300=$C196),$E$6:$E$300)/N196))</f>
        <v>621.42797666652189</v>
      </c>
      <c r="Q196" s="2">
        <f t="shared" si="23"/>
        <v>237.3177346658706</v>
      </c>
      <c r="R196" s="2">
        <f t="shared" si="23"/>
        <v>1830.1017274062599</v>
      </c>
      <c r="S196" s="2">
        <f t="shared" si="22"/>
        <v>732.40484262046516</v>
      </c>
    </row>
    <row r="197" spans="2:19" x14ac:dyDescent="0.35">
      <c r="B197">
        <v>645</v>
      </c>
      <c r="C197" s="17">
        <v>8</v>
      </c>
      <c r="D197" s="22" t="s">
        <v>210</v>
      </c>
      <c r="E197" s="90">
        <f>INDEX('Revised 2019 Lockdown'!H$5:H$257,MATCH(B197,'Revised 2019 Lockdown'!B$5:B$257,0))</f>
        <v>4.4384178397046563</v>
      </c>
      <c r="F197" s="7">
        <f>INDEX('Revised 2019 Lockdown'!E$5:E$257,MATCH(B197,'Revised 2019 Lockdown'!B$5:B$257,0))</f>
        <v>14942.85</v>
      </c>
      <c r="G197" s="7">
        <f>INDEX('Revised 2019 Lockdown'!F$5:F$257,MATCH(B197,'Revised 2019 Lockdown'!B$5:B$257,0))</f>
        <v>0</v>
      </c>
      <c r="H197" s="7">
        <f t="shared" si="19"/>
        <v>14942.85</v>
      </c>
      <c r="I197" s="6">
        <f t="shared" si="16"/>
        <v>3366.7064570455891</v>
      </c>
      <c r="J197" s="6">
        <f t="shared" si="20"/>
        <v>1830.1017274062599</v>
      </c>
      <c r="K197" s="5">
        <f t="shared" si="17"/>
        <v>8122.7561553942514</v>
      </c>
      <c r="L197" s="4">
        <f t="shared" si="18"/>
        <v>0</v>
      </c>
      <c r="M197" s="2" cm="1">
        <f t="array" ref="M197">SUMPRODUCT(--($L$6:$L$300&lt;&gt;1),--($C$6:$C$300=$C197),$H$6:$H$300)/SUMPRODUCT(--($L$6:$L$300&lt;&gt;1),--($C$6:$C$300=$C197),$E$6:$E$300)</f>
        <v>1033.7097310360653</v>
      </c>
      <c r="N197" s="1" cm="1">
        <f t="array" ref="N197">SUMPRODUCT(--($L$6:$L$300&lt;&gt;1),--($C$6:$C$300=$C197))</f>
        <v>50</v>
      </c>
      <c r="O197" s="3">
        <f t="shared" si="21"/>
        <v>5442873.7235711562</v>
      </c>
      <c r="P197" s="2" cm="1">
        <f t="array" ref="P197">SQRT(SUMPRODUCT(--($L$6:$L$300&lt;&gt;1),--($C$6:$C$300=$C197),$E$6:$E$300,$O$6:$O$300)/((N197-1)*SUMPRODUCT(--($L$6:$L$300&lt;&gt;1),--($C$6:$C$300=$C197),$E$6:$E$300)/N197))</f>
        <v>621.42797666652189</v>
      </c>
      <c r="Q197" s="2">
        <f t="shared" si="23"/>
        <v>237.3177346658706</v>
      </c>
      <c r="R197" s="2">
        <f t="shared" si="23"/>
        <v>1830.1017274062599</v>
      </c>
      <c r="S197" s="2">
        <f t="shared" si="22"/>
        <v>1830.1017274062599</v>
      </c>
    </row>
    <row r="198" spans="2:19" x14ac:dyDescent="0.35">
      <c r="B198">
        <v>709</v>
      </c>
      <c r="C198" s="17">
        <v>8</v>
      </c>
      <c r="D198" s="22" t="s">
        <v>297</v>
      </c>
      <c r="E198" s="90">
        <f>INDEX('Revised 2019 Lockdown'!H$5:H$257,MATCH(B198,'Revised 2019 Lockdown'!B$5:B$257,0))</f>
        <v>69.808973502441347</v>
      </c>
      <c r="F198" s="7">
        <f>INDEX('Revised 2019 Lockdown'!E$5:E$257,MATCH(B198,'Revised 2019 Lockdown'!B$5:B$257,0))</f>
        <v>43632.11</v>
      </c>
      <c r="G198" s="7">
        <f>INDEX('Revised 2019 Lockdown'!F$5:F$257,MATCH(B198,'Revised 2019 Lockdown'!B$5:B$257,0))</f>
        <v>0</v>
      </c>
      <c r="H198" s="7">
        <f t="shared" si="19"/>
        <v>43632.11</v>
      </c>
      <c r="I198" s="6">
        <f t="shared" ref="I198:I246" si="24">H198/E198</f>
        <v>625.02150956959861</v>
      </c>
      <c r="J198" s="6">
        <f t="shared" si="20"/>
        <v>625.02150956959861</v>
      </c>
      <c r="K198" s="5">
        <f t="shared" ref="K198:K246" si="25">J198*E198</f>
        <v>43632.11</v>
      </c>
      <c r="L198" s="4">
        <f t="shared" ref="L198:L246" si="26">IF(ISERROR(I198),1,0)</f>
        <v>0</v>
      </c>
      <c r="M198" s="2" cm="1">
        <f t="array" ref="M198">SUMPRODUCT(--($L$6:$L$300&lt;&gt;1),--($C$6:$C$300=$C198),$H$6:$H$300)/SUMPRODUCT(--($L$6:$L$300&lt;&gt;1),--($C$6:$C$300=$C198),$E$6:$E$300)</f>
        <v>1033.7097310360653</v>
      </c>
      <c r="N198" s="1" cm="1">
        <f t="array" ref="N198">SUMPRODUCT(--($L$6:$L$300&lt;&gt;1),--($C$6:$C$300=$C198))</f>
        <v>50</v>
      </c>
      <c r="O198" s="3">
        <f t="shared" si="21"/>
        <v>167026.06236542368</v>
      </c>
      <c r="P198" s="2" cm="1">
        <f t="array" ref="P198">SQRT(SUMPRODUCT(--($L$6:$L$300&lt;&gt;1),--($C$6:$C$300=$C198),$E$6:$E$300,$O$6:$O$300)/((N198-1)*SUMPRODUCT(--($L$6:$L$300&lt;&gt;1),--($C$6:$C$300=$C198),$E$6:$E$300)/N198))</f>
        <v>621.42797666652189</v>
      </c>
      <c r="Q198" s="2">
        <f t="shared" si="23"/>
        <v>237.3177346658706</v>
      </c>
      <c r="R198" s="2">
        <f t="shared" si="23"/>
        <v>1830.1017274062599</v>
      </c>
      <c r="S198" s="2">
        <f t="shared" si="22"/>
        <v>625.02150956959861</v>
      </c>
    </row>
    <row r="199" spans="2:19" x14ac:dyDescent="0.35">
      <c r="B199">
        <v>714</v>
      </c>
      <c r="C199" s="17">
        <v>8</v>
      </c>
      <c r="D199" s="22" t="s">
        <v>211</v>
      </c>
      <c r="E199" s="90">
        <f>INDEX('Revised 2019 Lockdown'!H$5:H$257,MATCH(B199,'Revised 2019 Lockdown'!B$5:B$257,0))</f>
        <v>55.79475654400381</v>
      </c>
      <c r="F199" s="7">
        <f>INDEX('Revised 2019 Lockdown'!E$5:E$257,MATCH(B199,'Revised 2019 Lockdown'!B$5:B$257,0))</f>
        <v>63101.23</v>
      </c>
      <c r="G199" s="7">
        <f>INDEX('Revised 2019 Lockdown'!F$5:F$257,MATCH(B199,'Revised 2019 Lockdown'!B$5:B$257,0))</f>
        <v>0</v>
      </c>
      <c r="H199" s="7">
        <f t="shared" ref="H199:H258" si="27">F199-G199</f>
        <v>63101.23</v>
      </c>
      <c r="I199" s="6">
        <f t="shared" si="24"/>
        <v>1130.9526899760513</v>
      </c>
      <c r="J199" s="6">
        <f t="shared" ref="J199:J246" si="28">IF(ISERROR(IF($J$2=1,MAX(MIN(I199,R199),Q199),MIN(I199,R199))),R199,IF($J$2=1,MAX(MIN(I199,R199),Q199),MIN(I199,R199)))</f>
        <v>1130.9526899760513</v>
      </c>
      <c r="K199" s="5">
        <f t="shared" si="25"/>
        <v>63101.229999999996</v>
      </c>
      <c r="L199" s="4">
        <f t="shared" si="26"/>
        <v>0</v>
      </c>
      <c r="M199" s="2" cm="1">
        <f t="array" ref="M199">SUMPRODUCT(--($L$6:$L$300&lt;&gt;1),--($C$6:$C$300=$C199),$H$6:$H$300)/SUMPRODUCT(--($L$6:$L$300&lt;&gt;1),--($C$6:$C$300=$C199),$E$6:$E$300)</f>
        <v>1033.7097310360653</v>
      </c>
      <c r="N199" s="1" cm="1">
        <f t="array" ref="N199">SUMPRODUCT(--($L$6:$L$300&lt;&gt;1),--($C$6:$C$300=$C199))</f>
        <v>50</v>
      </c>
      <c r="O199" s="3">
        <f t="shared" ref="O199:O254" si="29">IF(ISERROR((I199-M199)^2),0,(I199-M199)^2)</f>
        <v>9456.1930634038054</v>
      </c>
      <c r="P199" s="2" cm="1">
        <f t="array" ref="P199">SQRT(SUMPRODUCT(--($L$6:$L$300&lt;&gt;1),--($C$6:$C$300=$C199),$E$6:$E$300,$O$6:$O$300)/((N199-1)*SUMPRODUCT(--($L$6:$L$300&lt;&gt;1),--($C$6:$C$300=$C199),$E$6:$E$300)/N199))</f>
        <v>621.42797666652189</v>
      </c>
      <c r="Q199" s="2">
        <f t="shared" si="23"/>
        <v>237.3177346658706</v>
      </c>
      <c r="R199" s="2">
        <f t="shared" si="23"/>
        <v>1830.1017274062599</v>
      </c>
      <c r="S199" s="2">
        <f t="shared" ref="S199:S254" si="30">IF(ISERROR(MAX(MIN(I199,R199),Q199)),R199,MAX(MIN(I199,R199),Q199))</f>
        <v>1130.9526899760513</v>
      </c>
    </row>
    <row r="200" spans="2:19" x14ac:dyDescent="0.35">
      <c r="B200">
        <v>749</v>
      </c>
      <c r="C200" s="17">
        <v>8</v>
      </c>
      <c r="D200" s="22" t="s">
        <v>212</v>
      </c>
      <c r="E200" s="90">
        <f>INDEX('Revised 2019 Lockdown'!H$5:H$257,MATCH(B200,'Revised 2019 Lockdown'!B$5:B$257,0))</f>
        <v>25.180157901631535</v>
      </c>
      <c r="F200" s="7">
        <f>INDEX('Revised 2019 Lockdown'!E$5:E$257,MATCH(B200,'Revised 2019 Lockdown'!B$5:B$257,0))</f>
        <v>4690.4399999999996</v>
      </c>
      <c r="G200" s="7">
        <f>INDEX('Revised 2019 Lockdown'!F$5:F$257,MATCH(B200,'Revised 2019 Lockdown'!B$5:B$257,0))</f>
        <v>0</v>
      </c>
      <c r="H200" s="7">
        <f t="shared" si="27"/>
        <v>4690.4399999999996</v>
      </c>
      <c r="I200" s="6">
        <f t="shared" si="24"/>
        <v>186.27524173293946</v>
      </c>
      <c r="J200" s="6">
        <f t="shared" si="28"/>
        <v>186.27524173293946</v>
      </c>
      <c r="K200" s="5">
        <f t="shared" si="25"/>
        <v>4690.4399999999996</v>
      </c>
      <c r="L200" s="4">
        <f t="shared" si="26"/>
        <v>0</v>
      </c>
      <c r="M200" s="2" cm="1">
        <f t="array" ref="M200">SUMPRODUCT(--($L$6:$L$300&lt;&gt;1),--($C$6:$C$300=$C200),$H$6:$H$300)/SUMPRODUCT(--($L$6:$L$300&lt;&gt;1),--($C$6:$C$300=$C200),$E$6:$E$300)</f>
        <v>1033.7097310360653</v>
      </c>
      <c r="N200" s="1" cm="1">
        <f t="array" ref="N200">SUMPRODUCT(--($L$6:$L$300&lt;&gt;1),--($C$6:$C$300=$C200))</f>
        <v>50</v>
      </c>
      <c r="O200" s="3">
        <f t="shared" si="29"/>
        <v>718145.2136604496</v>
      </c>
      <c r="P200" s="2" cm="1">
        <f t="array" ref="P200">SQRT(SUMPRODUCT(--($L$6:$L$300&lt;&gt;1),--($C$6:$C$300=$C200),$E$6:$E$300,$O$6:$O$300)/((N200-1)*SUMPRODUCT(--($L$6:$L$300&lt;&gt;1),--($C$6:$C$300=$C200),$E$6:$E$300)/N200))</f>
        <v>621.42797666652189</v>
      </c>
      <c r="Q200" s="2">
        <f t="shared" si="23"/>
        <v>237.3177346658706</v>
      </c>
      <c r="R200" s="2">
        <f t="shared" si="23"/>
        <v>1830.1017274062599</v>
      </c>
      <c r="S200" s="2">
        <f t="shared" si="30"/>
        <v>237.3177346658706</v>
      </c>
    </row>
    <row r="201" spans="2:19" x14ac:dyDescent="0.35">
      <c r="B201">
        <v>764</v>
      </c>
      <c r="C201" s="17">
        <v>8</v>
      </c>
      <c r="D201" s="22" t="s">
        <v>213</v>
      </c>
      <c r="E201" s="90">
        <f>INDEX('Revised 2019 Lockdown'!H$5:H$257,MATCH(B201,'Revised 2019 Lockdown'!B$5:B$257,0))</f>
        <v>15.2</v>
      </c>
      <c r="F201" s="7">
        <f>INDEX('Revised 2019 Lockdown'!E$5:E$257,MATCH(B201,'Revised 2019 Lockdown'!B$5:B$257,0))</f>
        <v>11682.68</v>
      </c>
      <c r="G201" s="7">
        <f>INDEX('Revised 2019 Lockdown'!F$5:F$257,MATCH(B201,'Revised 2019 Lockdown'!B$5:B$257,0))</f>
        <v>0</v>
      </c>
      <c r="H201" s="7">
        <f t="shared" si="27"/>
        <v>11682.68</v>
      </c>
      <c r="I201" s="6">
        <f t="shared" si="24"/>
        <v>768.59736842105269</v>
      </c>
      <c r="J201" s="6">
        <f t="shared" si="28"/>
        <v>768.59736842105269</v>
      </c>
      <c r="K201" s="5">
        <f t="shared" si="25"/>
        <v>11682.68</v>
      </c>
      <c r="L201" s="4">
        <f t="shared" si="26"/>
        <v>0</v>
      </c>
      <c r="M201" s="2" cm="1">
        <f t="array" ref="M201">SUMPRODUCT(--($L$6:$L$300&lt;&gt;1),--($C$6:$C$300=$C201),$H$6:$H$300)/SUMPRODUCT(--($L$6:$L$300&lt;&gt;1),--($C$6:$C$300=$C201),$E$6:$E$300)</f>
        <v>1033.7097310360653</v>
      </c>
      <c r="N201" s="1" cm="1">
        <f t="array" ref="N201">SUMPRODUCT(--($L$6:$L$300&lt;&gt;1),--($C$6:$C$300=$C201))</f>
        <v>50</v>
      </c>
      <c r="O201" s="3">
        <f t="shared" si="29"/>
        <v>70284.564811313903</v>
      </c>
      <c r="P201" s="2" cm="1">
        <f t="array" ref="P201">SQRT(SUMPRODUCT(--($L$6:$L$300&lt;&gt;1),--($C$6:$C$300=$C201),$E$6:$E$300,$O$6:$O$300)/((N201-1)*SUMPRODUCT(--($L$6:$L$300&lt;&gt;1),--($C$6:$C$300=$C201),$E$6:$E$300)/N201))</f>
        <v>621.42797666652189</v>
      </c>
      <c r="Q201" s="2">
        <f t="shared" si="23"/>
        <v>237.3177346658706</v>
      </c>
      <c r="R201" s="2">
        <f t="shared" si="23"/>
        <v>1830.1017274062599</v>
      </c>
      <c r="S201" s="2">
        <f t="shared" si="30"/>
        <v>768.59736842105269</v>
      </c>
    </row>
    <row r="202" spans="2:19" x14ac:dyDescent="0.35">
      <c r="B202">
        <v>775</v>
      </c>
      <c r="C202" s="17">
        <v>8</v>
      </c>
      <c r="D202" s="22" t="s">
        <v>214</v>
      </c>
      <c r="E202" s="90">
        <f>INDEX('Revised 2019 Lockdown'!H$5:H$257,MATCH(B202,'Revised 2019 Lockdown'!B$5:B$257,0))</f>
        <v>170.52697234009614</v>
      </c>
      <c r="F202" s="7">
        <f>INDEX('Revised 2019 Lockdown'!E$5:E$257,MATCH(B202,'Revised 2019 Lockdown'!B$5:B$257,0))</f>
        <v>118004.07</v>
      </c>
      <c r="G202" s="7">
        <f>INDEX('Revised 2019 Lockdown'!F$5:F$257,MATCH(B202,'Revised 2019 Lockdown'!B$5:B$257,0))</f>
        <v>0</v>
      </c>
      <c r="H202" s="7">
        <f t="shared" si="27"/>
        <v>118004.07</v>
      </c>
      <c r="I202" s="6">
        <f t="shared" si="24"/>
        <v>691.99651164071963</v>
      </c>
      <c r="J202" s="6">
        <f t="shared" si="28"/>
        <v>691.99651164071963</v>
      </c>
      <c r="K202" s="5">
        <f t="shared" si="25"/>
        <v>118004.07</v>
      </c>
      <c r="L202" s="4">
        <f t="shared" si="26"/>
        <v>0</v>
      </c>
      <c r="M202" s="2" cm="1">
        <f t="array" ref="M202">SUMPRODUCT(--($L$6:$L$300&lt;&gt;1),--($C$6:$C$300=$C202),$H$6:$H$300)/SUMPRODUCT(--($L$6:$L$300&lt;&gt;1),--($C$6:$C$300=$C202),$E$6:$E$300)</f>
        <v>1033.7097310360653</v>
      </c>
      <c r="N202" s="1" cm="1">
        <f t="array" ref="N202">SUMPRODUCT(--($L$6:$L$300&lt;&gt;1),--($C$6:$C$300=$C202))</f>
        <v>50</v>
      </c>
      <c r="O202" s="3">
        <f t="shared" si="29"/>
        <v>116767.92430953161</v>
      </c>
      <c r="P202" s="2" cm="1">
        <f t="array" ref="P202">SQRT(SUMPRODUCT(--($L$6:$L$300&lt;&gt;1),--($C$6:$C$300=$C202),$E$6:$E$300,$O$6:$O$300)/((N202-1)*SUMPRODUCT(--($L$6:$L$300&lt;&gt;1),--($C$6:$C$300=$C202),$E$6:$E$300)/N202))</f>
        <v>621.42797666652189</v>
      </c>
      <c r="Q202" s="2">
        <f t="shared" si="23"/>
        <v>237.3177346658706</v>
      </c>
      <c r="R202" s="2">
        <f t="shared" si="23"/>
        <v>1830.1017274062599</v>
      </c>
      <c r="S202" s="2">
        <f t="shared" si="30"/>
        <v>691.99651164071963</v>
      </c>
    </row>
    <row r="203" spans="2:19" x14ac:dyDescent="0.35">
      <c r="B203">
        <v>790</v>
      </c>
      <c r="C203" s="17">
        <v>8</v>
      </c>
      <c r="D203" s="22" t="s">
        <v>352</v>
      </c>
      <c r="E203" s="90">
        <f>INDEX('Revised 2019 Lockdown'!H$5:H$257,MATCH(B203,'Revised 2019 Lockdown'!B$5:B$257,0))</f>
        <v>9.7918986885088461</v>
      </c>
      <c r="F203" s="7">
        <f>INDEX('Revised 2019 Lockdown'!E$5:E$257,MATCH(B203,'Revised 2019 Lockdown'!B$5:B$257,0))</f>
        <v>8112.34</v>
      </c>
      <c r="G203" s="7">
        <f>INDEX('Revised 2019 Lockdown'!F$5:F$257,MATCH(B203,'Revised 2019 Lockdown'!B$5:B$257,0))</f>
        <v>0</v>
      </c>
      <c r="H203" s="7">
        <f t="shared" si="27"/>
        <v>8112.34</v>
      </c>
      <c r="I203" s="6">
        <f t="shared" si="24"/>
        <v>828.47466646281077</v>
      </c>
      <c r="J203" s="6">
        <f t="shared" si="28"/>
        <v>828.47466646281077</v>
      </c>
      <c r="K203" s="5">
        <f t="shared" si="25"/>
        <v>8112.34</v>
      </c>
      <c r="L203" s="4">
        <f t="shared" si="26"/>
        <v>0</v>
      </c>
      <c r="M203" s="2" cm="1">
        <f t="array" ref="M203">SUMPRODUCT(--($L$6:$L$300&lt;&gt;1),--($C$6:$C$300=$C203),$H$6:$H$300)/SUMPRODUCT(--($L$6:$L$300&lt;&gt;1),--($C$6:$C$300=$C203),$E$6:$E$300)</f>
        <v>1033.7097310360653</v>
      </c>
      <c r="N203" s="1" cm="1">
        <f t="array" ref="N203">SUMPRODUCT(--($L$6:$L$300&lt;&gt;1),--($C$6:$C$300=$C203))</f>
        <v>50</v>
      </c>
      <c r="O203" s="3">
        <f t="shared" si="29"/>
        <v>42121.431730387936</v>
      </c>
      <c r="P203" s="2" cm="1">
        <f t="array" ref="P203">SQRT(SUMPRODUCT(--($L$6:$L$300&lt;&gt;1),--($C$6:$C$300=$C203),$E$6:$E$300,$O$6:$O$300)/((N203-1)*SUMPRODUCT(--($L$6:$L$300&lt;&gt;1),--($C$6:$C$300=$C203),$E$6:$E$300)/N203))</f>
        <v>621.42797666652189</v>
      </c>
      <c r="Q203" s="2">
        <f t="shared" si="23"/>
        <v>237.3177346658706</v>
      </c>
      <c r="R203" s="2">
        <f t="shared" si="23"/>
        <v>1830.1017274062599</v>
      </c>
      <c r="S203" s="2">
        <f t="shared" si="30"/>
        <v>828.47466646281077</v>
      </c>
    </row>
    <row r="204" spans="2:19" x14ac:dyDescent="0.35">
      <c r="B204">
        <v>795</v>
      </c>
      <c r="C204" s="17">
        <v>8</v>
      </c>
      <c r="D204" s="22" t="s">
        <v>353</v>
      </c>
      <c r="E204" s="90">
        <f>INDEX('Revised 2019 Lockdown'!H$5:H$257,MATCH(B204,'Revised 2019 Lockdown'!B$5:B$257,0))</f>
        <v>254.70912293554989</v>
      </c>
      <c r="F204" s="7">
        <f>INDEX('Revised 2019 Lockdown'!E$5:E$257,MATCH(B204,'Revised 2019 Lockdown'!B$5:B$257,0))</f>
        <v>292287.77</v>
      </c>
      <c r="G204" s="7">
        <f>INDEX('Revised 2019 Lockdown'!F$5:F$257,MATCH(B204,'Revised 2019 Lockdown'!B$5:B$257,0))</f>
        <v>18326.8</v>
      </c>
      <c r="H204" s="7">
        <f t="shared" si="27"/>
        <v>273960.97000000003</v>
      </c>
      <c r="I204" s="6">
        <f t="shared" si="24"/>
        <v>1075.5836573208314</v>
      </c>
      <c r="J204" s="6">
        <f t="shared" si="28"/>
        <v>1075.5836573208314</v>
      </c>
      <c r="K204" s="5">
        <f t="shared" si="25"/>
        <v>273960.97000000003</v>
      </c>
      <c r="L204" s="4">
        <f t="shared" si="26"/>
        <v>0</v>
      </c>
      <c r="M204" s="2" cm="1">
        <f t="array" ref="M204">SUMPRODUCT(--($L$6:$L$300&lt;&gt;1),--($C$6:$C$300=$C204),$H$6:$H$300)/SUMPRODUCT(--($L$6:$L$300&lt;&gt;1),--($C$6:$C$300=$C204),$E$6:$E$300)</f>
        <v>1033.7097310360653</v>
      </c>
      <c r="N204" s="1" cm="1">
        <f t="array" ref="N204">SUMPRODUCT(--($L$6:$L$300&lt;&gt;1),--($C$6:$C$300=$C204))</f>
        <v>50</v>
      </c>
      <c r="O204" s="3">
        <f t="shared" si="29"/>
        <v>1753.4257025020324</v>
      </c>
      <c r="P204" s="2" cm="1">
        <f t="array" ref="P204">SQRT(SUMPRODUCT(--($L$6:$L$300&lt;&gt;1),--($C$6:$C$300=$C204),$E$6:$E$300,$O$6:$O$300)/((N204-1)*SUMPRODUCT(--($L$6:$L$300&lt;&gt;1),--($C$6:$C$300=$C204),$E$6:$E$300)/N204))</f>
        <v>621.42797666652189</v>
      </c>
      <c r="Q204" s="2">
        <f t="shared" si="23"/>
        <v>237.3177346658706</v>
      </c>
      <c r="R204" s="2">
        <f t="shared" si="23"/>
        <v>1830.1017274062599</v>
      </c>
      <c r="S204" s="2">
        <f t="shared" si="30"/>
        <v>1075.5836573208314</v>
      </c>
    </row>
    <row r="205" spans="2:19" x14ac:dyDescent="0.35">
      <c r="B205">
        <v>796</v>
      </c>
      <c r="C205" s="17">
        <v>8</v>
      </c>
      <c r="D205" s="22" t="s">
        <v>217</v>
      </c>
      <c r="E205" s="90">
        <f>INDEX('Revised 2019 Lockdown'!H$5:H$257,MATCH(B205,'Revised 2019 Lockdown'!B$5:B$257,0))</f>
        <v>32</v>
      </c>
      <c r="F205" s="7">
        <f>INDEX('Revised 2019 Lockdown'!E$5:E$257,MATCH(B205,'Revised 2019 Lockdown'!B$5:B$257,0))</f>
        <v>22596.76</v>
      </c>
      <c r="G205" s="7">
        <f>INDEX('Revised 2019 Lockdown'!F$5:F$257,MATCH(B205,'Revised 2019 Lockdown'!B$5:B$257,0))</f>
        <v>0</v>
      </c>
      <c r="H205" s="7">
        <f t="shared" si="27"/>
        <v>22596.76</v>
      </c>
      <c r="I205" s="6">
        <f t="shared" si="24"/>
        <v>706.14874999999995</v>
      </c>
      <c r="J205" s="6">
        <f t="shared" si="28"/>
        <v>706.14874999999995</v>
      </c>
      <c r="K205" s="5">
        <f t="shared" si="25"/>
        <v>22596.76</v>
      </c>
      <c r="L205" s="4">
        <f t="shared" si="26"/>
        <v>0</v>
      </c>
      <c r="M205" s="2" cm="1">
        <f t="array" ref="M205">SUMPRODUCT(--($L$6:$L$300&lt;&gt;1),--($C$6:$C$300=$C205),$H$6:$H$300)/SUMPRODUCT(--($L$6:$L$300&lt;&gt;1),--($C$6:$C$300=$C205),$E$6:$E$300)</f>
        <v>1033.7097310360653</v>
      </c>
      <c r="N205" s="1" cm="1">
        <f t="array" ref="N205">SUMPRODUCT(--($L$6:$L$300&lt;&gt;1),--($C$6:$C$300=$C205))</f>
        <v>50</v>
      </c>
      <c r="O205" s="3">
        <f t="shared" si="29"/>
        <v>107296.19629730954</v>
      </c>
      <c r="P205" s="2" cm="1">
        <f t="array" ref="P205">SQRT(SUMPRODUCT(--($L$6:$L$300&lt;&gt;1),--($C$6:$C$300=$C205),$E$6:$E$300,$O$6:$O$300)/((N205-1)*SUMPRODUCT(--($L$6:$L$300&lt;&gt;1),--($C$6:$C$300=$C205),$E$6:$E$300)/N205))</f>
        <v>621.42797666652189</v>
      </c>
      <c r="Q205" s="2">
        <f t="shared" si="23"/>
        <v>237.3177346658706</v>
      </c>
      <c r="R205" s="2">
        <f t="shared" si="23"/>
        <v>1830.1017274062599</v>
      </c>
      <c r="S205" s="2">
        <f t="shared" si="30"/>
        <v>706.14874999999995</v>
      </c>
    </row>
    <row r="206" spans="2:19" x14ac:dyDescent="0.35">
      <c r="B206">
        <v>797</v>
      </c>
      <c r="C206" s="17">
        <v>8</v>
      </c>
      <c r="D206" s="22" t="s">
        <v>218</v>
      </c>
      <c r="E206" s="90">
        <f>INDEX('Revised 2019 Lockdown'!H$5:H$257,MATCH(B206,'Revised 2019 Lockdown'!B$5:B$257,0))</f>
        <v>24.367612903417886</v>
      </c>
      <c r="F206" s="7">
        <f>INDEX('Revised 2019 Lockdown'!E$5:E$257,MATCH(B206,'Revised 2019 Lockdown'!B$5:B$257,0))</f>
        <v>39985.18</v>
      </c>
      <c r="G206" s="7">
        <f>INDEX('Revised 2019 Lockdown'!F$5:F$257,MATCH(B206,'Revised 2019 Lockdown'!B$5:B$257,0))</f>
        <v>1159</v>
      </c>
      <c r="H206" s="7">
        <f t="shared" si="27"/>
        <v>38826.18</v>
      </c>
      <c r="I206" s="6">
        <f t="shared" si="24"/>
        <v>1593.3518048685887</v>
      </c>
      <c r="J206" s="6">
        <f t="shared" si="28"/>
        <v>1593.3518048685887</v>
      </c>
      <c r="K206" s="5">
        <f t="shared" si="25"/>
        <v>38826.18</v>
      </c>
      <c r="L206" s="4">
        <f t="shared" si="26"/>
        <v>0</v>
      </c>
      <c r="M206" s="2" cm="1">
        <f t="array" ref="M206">SUMPRODUCT(--($L$6:$L$300&lt;&gt;1),--($C$6:$C$300=$C206),$H$6:$H$300)/SUMPRODUCT(--($L$6:$L$300&lt;&gt;1),--($C$6:$C$300=$C206),$E$6:$E$300)</f>
        <v>1033.7097310360653</v>
      </c>
      <c r="N206" s="1" cm="1">
        <f t="array" ref="N206">SUMPRODUCT(--($L$6:$L$300&lt;&gt;1),--($C$6:$C$300=$C206))</f>
        <v>50</v>
      </c>
      <c r="O206" s="3">
        <f t="shared" si="29"/>
        <v>313199.25080356764</v>
      </c>
      <c r="P206" s="2" cm="1">
        <f t="array" ref="P206">SQRT(SUMPRODUCT(--($L$6:$L$300&lt;&gt;1),--($C$6:$C$300=$C206),$E$6:$E$300,$O$6:$O$300)/((N206-1)*SUMPRODUCT(--($L$6:$L$300&lt;&gt;1),--($C$6:$C$300=$C206),$E$6:$E$300)/N206))</f>
        <v>621.42797666652189</v>
      </c>
      <c r="Q206" s="2">
        <f t="shared" si="23"/>
        <v>237.3177346658706</v>
      </c>
      <c r="R206" s="2">
        <f t="shared" si="23"/>
        <v>1830.1017274062599</v>
      </c>
      <c r="S206" s="2">
        <f t="shared" si="30"/>
        <v>1593.3518048685887</v>
      </c>
    </row>
    <row r="207" spans="2:19" x14ac:dyDescent="0.35">
      <c r="B207">
        <v>801</v>
      </c>
      <c r="C207" s="17">
        <v>8</v>
      </c>
      <c r="D207" s="22" t="s">
        <v>219</v>
      </c>
      <c r="E207" s="90">
        <f>INDEX('Revised 2019 Lockdown'!H$5:H$257,MATCH(B207,'Revised 2019 Lockdown'!B$5:B$257,0))</f>
        <v>135.0746846492795</v>
      </c>
      <c r="F207" s="7">
        <f>INDEX('Revised 2019 Lockdown'!E$5:E$257,MATCH(B207,'Revised 2019 Lockdown'!B$5:B$257,0))</f>
        <v>96738.85</v>
      </c>
      <c r="G207" s="7">
        <f>INDEX('Revised 2019 Lockdown'!F$5:F$257,MATCH(B207,'Revised 2019 Lockdown'!B$5:B$257,0))</f>
        <v>0</v>
      </c>
      <c r="H207" s="7">
        <f t="shared" si="27"/>
        <v>96738.85</v>
      </c>
      <c r="I207" s="6">
        <f t="shared" si="24"/>
        <v>716.18786489253534</v>
      </c>
      <c r="J207" s="6">
        <f t="shared" si="28"/>
        <v>716.18786489253534</v>
      </c>
      <c r="K207" s="5">
        <f t="shared" si="25"/>
        <v>96738.85</v>
      </c>
      <c r="L207" s="4">
        <f t="shared" si="26"/>
        <v>0</v>
      </c>
      <c r="M207" s="2" cm="1">
        <f t="array" ref="M207">SUMPRODUCT(--($L$6:$L$300&lt;&gt;1),--($C$6:$C$300=$C207),$H$6:$H$300)/SUMPRODUCT(--($L$6:$L$300&lt;&gt;1),--($C$6:$C$300=$C207),$E$6:$E$300)</f>
        <v>1033.7097310360653</v>
      </c>
      <c r="N207" s="1" cm="1">
        <f t="array" ref="N207">SUMPRODUCT(--($L$6:$L$300&lt;&gt;1),--($C$6:$C$300=$C207))</f>
        <v>50</v>
      </c>
      <c r="O207" s="3">
        <f t="shared" si="29"/>
        <v>100820.13547926972</v>
      </c>
      <c r="P207" s="2" cm="1">
        <f t="array" ref="P207">SQRT(SUMPRODUCT(--($L$6:$L$300&lt;&gt;1),--($C$6:$C$300=$C207),$E$6:$E$300,$O$6:$O$300)/((N207-1)*SUMPRODUCT(--($L$6:$L$300&lt;&gt;1),--($C$6:$C$300=$C207),$E$6:$E$300)/N207))</f>
        <v>621.42797666652189</v>
      </c>
      <c r="Q207" s="2">
        <f t="shared" si="23"/>
        <v>237.3177346658706</v>
      </c>
      <c r="R207" s="2">
        <f t="shared" si="23"/>
        <v>1830.1017274062599</v>
      </c>
      <c r="S207" s="2">
        <f t="shared" si="30"/>
        <v>716.18786489253534</v>
      </c>
    </row>
    <row r="208" spans="2:19" x14ac:dyDescent="0.35">
      <c r="B208">
        <v>810</v>
      </c>
      <c r="C208" s="17">
        <v>8</v>
      </c>
      <c r="D208" s="22" t="s">
        <v>221</v>
      </c>
      <c r="E208" s="90">
        <f>INDEX('Revised 2019 Lockdown'!H$5:H$257,MATCH(B208,'Revised 2019 Lockdown'!B$5:B$257,0))</f>
        <v>124.98999999999998</v>
      </c>
      <c r="F208" s="7">
        <f>INDEX('Revised 2019 Lockdown'!E$5:E$257,MATCH(B208,'Revised 2019 Lockdown'!B$5:B$257,0))</f>
        <v>140596.89000000001</v>
      </c>
      <c r="G208" s="7">
        <f>INDEX('Revised 2019 Lockdown'!F$5:F$257,MATCH(B208,'Revised 2019 Lockdown'!B$5:B$257,0))</f>
        <v>0</v>
      </c>
      <c r="H208" s="7">
        <f t="shared" si="27"/>
        <v>140596.89000000001</v>
      </c>
      <c r="I208" s="6">
        <f t="shared" si="24"/>
        <v>1124.8651092087371</v>
      </c>
      <c r="J208" s="6">
        <f t="shared" si="28"/>
        <v>1124.8651092087371</v>
      </c>
      <c r="K208" s="5">
        <f t="shared" si="25"/>
        <v>140596.89000000001</v>
      </c>
      <c r="L208" s="4">
        <f t="shared" si="26"/>
        <v>0</v>
      </c>
      <c r="M208" s="2" cm="1">
        <f t="array" ref="M208">SUMPRODUCT(--($L$6:$L$300&lt;&gt;1),--($C$6:$C$300=$C208),$H$6:$H$300)/SUMPRODUCT(--($L$6:$L$300&lt;&gt;1),--($C$6:$C$300=$C208),$E$6:$E$300)</f>
        <v>1033.7097310360653</v>
      </c>
      <c r="N208" s="1" cm="1">
        <f t="array" ref="N208">SUMPRODUCT(--($L$6:$L$300&lt;&gt;1),--($C$6:$C$300=$C208))</f>
        <v>50</v>
      </c>
      <c r="O208" s="3">
        <f t="shared" si="29"/>
        <v>8309.3029698028131</v>
      </c>
      <c r="P208" s="2" cm="1">
        <f t="array" ref="P208">SQRT(SUMPRODUCT(--($L$6:$L$300&lt;&gt;1),--($C$6:$C$300=$C208),$E$6:$E$300,$O$6:$O$300)/((N208-1)*SUMPRODUCT(--($L$6:$L$300&lt;&gt;1),--($C$6:$C$300=$C208),$E$6:$E$300)/N208))</f>
        <v>621.42797666652189</v>
      </c>
      <c r="Q208" s="2">
        <f t="shared" si="23"/>
        <v>237.3177346658706</v>
      </c>
      <c r="R208" s="2">
        <f t="shared" si="23"/>
        <v>1830.1017274062599</v>
      </c>
      <c r="S208" s="2">
        <f t="shared" si="30"/>
        <v>1124.8651092087371</v>
      </c>
    </row>
    <row r="209" spans="2:19" x14ac:dyDescent="0.35">
      <c r="B209">
        <v>812</v>
      </c>
      <c r="C209" s="17">
        <v>8</v>
      </c>
      <c r="D209" s="22" t="s">
        <v>222</v>
      </c>
      <c r="E209" s="90">
        <f>INDEX('Revised 2019 Lockdown'!H$5:H$257,MATCH(B209,'Revised 2019 Lockdown'!B$5:B$257,0))</f>
        <v>42.133342486310362</v>
      </c>
      <c r="F209" s="7">
        <f>INDEX('Revised 2019 Lockdown'!E$5:E$257,MATCH(B209,'Revised 2019 Lockdown'!B$5:B$257,0))</f>
        <v>81577.919999999998</v>
      </c>
      <c r="G209" s="7">
        <f>INDEX('Revised 2019 Lockdown'!F$5:F$257,MATCH(B209,'Revised 2019 Lockdown'!B$5:B$257,0))</f>
        <v>273</v>
      </c>
      <c r="H209" s="7">
        <f t="shared" si="27"/>
        <v>81304.92</v>
      </c>
      <c r="I209" s="6">
        <f t="shared" si="24"/>
        <v>1929.7049605408581</v>
      </c>
      <c r="J209" s="6">
        <f t="shared" si="28"/>
        <v>1830.1017274062599</v>
      </c>
      <c r="K209" s="5">
        <f t="shared" si="25"/>
        <v>77108.302865596153</v>
      </c>
      <c r="L209" s="4">
        <f t="shared" si="26"/>
        <v>0</v>
      </c>
      <c r="M209" s="2" cm="1">
        <f t="array" ref="M209">SUMPRODUCT(--($L$6:$L$300&lt;&gt;1),--($C$6:$C$300=$C209),$H$6:$H$300)/SUMPRODUCT(--($L$6:$L$300&lt;&gt;1),--($C$6:$C$300=$C209),$E$6:$E$300)</f>
        <v>1033.7097310360653</v>
      </c>
      <c r="N209" s="1" cm="1">
        <f t="array" ref="N209">SUMPRODUCT(--($L$6:$L$300&lt;&gt;1),--($C$6:$C$300=$C209))</f>
        <v>50</v>
      </c>
      <c r="O209" s="3">
        <f t="shared" si="29"/>
        <v>802807.45129534649</v>
      </c>
      <c r="P209" s="2" cm="1">
        <f t="array" ref="P209">SQRT(SUMPRODUCT(--($L$6:$L$300&lt;&gt;1),--($C$6:$C$300=$C209),$E$6:$E$300,$O$6:$O$300)/((N209-1)*SUMPRODUCT(--($L$6:$L$300&lt;&gt;1),--($C$6:$C$300=$C209),$E$6:$E$300)/N209))</f>
        <v>621.42797666652189</v>
      </c>
      <c r="Q209" s="2">
        <f t="shared" si="23"/>
        <v>237.3177346658706</v>
      </c>
      <c r="R209" s="2">
        <f t="shared" si="23"/>
        <v>1830.1017274062599</v>
      </c>
      <c r="S209" s="2">
        <f t="shared" si="30"/>
        <v>1830.1017274062599</v>
      </c>
    </row>
    <row r="210" spans="2:19" x14ac:dyDescent="0.35">
      <c r="B210">
        <v>818</v>
      </c>
      <c r="C210" s="17">
        <v>8</v>
      </c>
      <c r="D210" s="22" t="s">
        <v>223</v>
      </c>
      <c r="E210" s="90">
        <f>INDEX('Revised 2019 Lockdown'!H$5:H$257,MATCH(B210,'Revised 2019 Lockdown'!B$5:B$257,0))</f>
        <v>39.648701095629384</v>
      </c>
      <c r="F210" s="7">
        <f>INDEX('Revised 2019 Lockdown'!E$5:E$257,MATCH(B210,'Revised 2019 Lockdown'!B$5:B$257,0))</f>
        <v>15868.89</v>
      </c>
      <c r="G210" s="7">
        <f>INDEX('Revised 2019 Lockdown'!F$5:F$257,MATCH(B210,'Revised 2019 Lockdown'!B$5:B$257,0))</f>
        <v>0</v>
      </c>
      <c r="H210" s="7">
        <f t="shared" si="27"/>
        <v>15868.89</v>
      </c>
      <c r="I210" s="6">
        <f t="shared" si="24"/>
        <v>400.23732332934566</v>
      </c>
      <c r="J210" s="6">
        <f t="shared" si="28"/>
        <v>400.23732332934566</v>
      </c>
      <c r="K210" s="5">
        <f t="shared" si="25"/>
        <v>15868.89</v>
      </c>
      <c r="L210" s="4">
        <f t="shared" si="26"/>
        <v>0</v>
      </c>
      <c r="M210" s="2" cm="1">
        <f t="array" ref="M210">SUMPRODUCT(--($L$6:$L$300&lt;&gt;1),--($C$6:$C$300=$C210),$H$6:$H$300)/SUMPRODUCT(--($L$6:$L$300&lt;&gt;1),--($C$6:$C$300=$C210),$E$6:$E$300)</f>
        <v>1033.7097310360653</v>
      </c>
      <c r="N210" s="1" cm="1">
        <f t="array" ref="N210">SUMPRODUCT(--($L$6:$L$300&lt;&gt;1),--($C$6:$C$300=$C210))</f>
        <v>50</v>
      </c>
      <c r="O210" s="3">
        <f t="shared" si="29"/>
        <v>401287.29132574843</v>
      </c>
      <c r="P210" s="2" cm="1">
        <f t="array" ref="P210">SQRT(SUMPRODUCT(--($L$6:$L$300&lt;&gt;1),--($C$6:$C$300=$C210),$E$6:$E$300,$O$6:$O$300)/((N210-1)*SUMPRODUCT(--($L$6:$L$300&lt;&gt;1),--($C$6:$C$300=$C210),$E$6:$E$300)/N210))</f>
        <v>621.42797666652189</v>
      </c>
      <c r="Q210" s="2">
        <f t="shared" si="23"/>
        <v>237.3177346658706</v>
      </c>
      <c r="R210" s="2">
        <f t="shared" si="23"/>
        <v>1830.1017274062599</v>
      </c>
      <c r="S210" s="2">
        <f t="shared" si="30"/>
        <v>400.23732332934566</v>
      </c>
    </row>
    <row r="211" spans="2:19" x14ac:dyDescent="0.35">
      <c r="B211">
        <v>833</v>
      </c>
      <c r="C211" s="17">
        <v>8</v>
      </c>
      <c r="D211" s="22" t="s">
        <v>224</v>
      </c>
      <c r="E211" s="90">
        <f>INDEX('Revised 2019 Lockdown'!H$5:H$257,MATCH(B211,'Revised 2019 Lockdown'!B$5:B$257,0))</f>
        <v>61.805842122186505</v>
      </c>
      <c r="F211" s="7">
        <f>INDEX('Revised 2019 Lockdown'!E$5:E$257,MATCH(B211,'Revised 2019 Lockdown'!B$5:B$257,0))</f>
        <v>37349.99</v>
      </c>
      <c r="G211" s="7">
        <f>INDEX('Revised 2019 Lockdown'!F$5:F$257,MATCH(B211,'Revised 2019 Lockdown'!B$5:B$257,0))</f>
        <v>0</v>
      </c>
      <c r="H211" s="7">
        <f t="shared" si="27"/>
        <v>37349.99</v>
      </c>
      <c r="I211" s="6">
        <f t="shared" si="24"/>
        <v>604.31164300231148</v>
      </c>
      <c r="J211" s="6">
        <f t="shared" si="28"/>
        <v>604.31164300231148</v>
      </c>
      <c r="K211" s="5">
        <f t="shared" si="25"/>
        <v>37349.99</v>
      </c>
      <c r="L211" s="4">
        <f t="shared" si="26"/>
        <v>0</v>
      </c>
      <c r="M211" s="2" cm="1">
        <f t="array" ref="M211">SUMPRODUCT(--($L$6:$L$300&lt;&gt;1),--($C$6:$C$300=$C211),$H$6:$H$300)/SUMPRODUCT(--($L$6:$L$300&lt;&gt;1),--($C$6:$C$300=$C211),$E$6:$E$300)</f>
        <v>1033.7097310360653</v>
      </c>
      <c r="N211" s="1" cm="1">
        <f t="array" ref="N211">SUMPRODUCT(--($L$6:$L$300&lt;&gt;1),--($C$6:$C$300=$C211))</f>
        <v>50</v>
      </c>
      <c r="O211" s="3">
        <f t="shared" si="29"/>
        <v>184382.71800704335</v>
      </c>
      <c r="P211" s="2" cm="1">
        <f t="array" ref="P211">SQRT(SUMPRODUCT(--($L$6:$L$300&lt;&gt;1),--($C$6:$C$300=$C211),$E$6:$E$300,$O$6:$O$300)/((N211-1)*SUMPRODUCT(--($L$6:$L$300&lt;&gt;1),--($C$6:$C$300=$C211),$E$6:$E$300)/N211))</f>
        <v>621.42797666652189</v>
      </c>
      <c r="Q211" s="2">
        <f t="shared" si="23"/>
        <v>237.3177346658706</v>
      </c>
      <c r="R211" s="2">
        <f t="shared" si="23"/>
        <v>1830.1017274062599</v>
      </c>
      <c r="S211" s="2">
        <f t="shared" si="30"/>
        <v>604.31164300231148</v>
      </c>
    </row>
    <row r="212" spans="2:19" x14ac:dyDescent="0.35">
      <c r="B212">
        <v>834</v>
      </c>
      <c r="C212" s="17">
        <v>8</v>
      </c>
      <c r="D212" s="22" t="s">
        <v>225</v>
      </c>
      <c r="E212" s="90">
        <f>INDEX('Revised 2019 Lockdown'!H$5:H$257,MATCH(B212,'Revised 2019 Lockdown'!B$5:B$257,0))</f>
        <v>74.23</v>
      </c>
      <c r="F212" s="7">
        <f>INDEX('Revised 2019 Lockdown'!E$5:E$257,MATCH(B212,'Revised 2019 Lockdown'!B$5:B$257,0))</f>
        <v>55123.19</v>
      </c>
      <c r="G212" s="7">
        <f>INDEX('Revised 2019 Lockdown'!F$5:F$257,MATCH(B212,'Revised 2019 Lockdown'!B$5:B$257,0))</f>
        <v>3760.4799999999996</v>
      </c>
      <c r="H212" s="7">
        <f t="shared" si="27"/>
        <v>51362.710000000006</v>
      </c>
      <c r="I212" s="6">
        <f t="shared" si="24"/>
        <v>691.94005119224039</v>
      </c>
      <c r="J212" s="6">
        <f t="shared" si="28"/>
        <v>691.94005119224039</v>
      </c>
      <c r="K212" s="5">
        <f t="shared" si="25"/>
        <v>51362.710000000006</v>
      </c>
      <c r="L212" s="4">
        <f t="shared" si="26"/>
        <v>0</v>
      </c>
      <c r="M212" s="2" cm="1">
        <f t="array" ref="M212">SUMPRODUCT(--($L$6:$L$300&lt;&gt;1),--($C$6:$C$300=$C212),$H$6:$H$300)/SUMPRODUCT(--($L$6:$L$300&lt;&gt;1),--($C$6:$C$300=$C212),$E$6:$E$300)</f>
        <v>1033.7097310360653</v>
      </c>
      <c r="N212" s="1" cm="1">
        <f t="array" ref="N212">SUMPRODUCT(--($L$6:$L$300&lt;&gt;1),--($C$6:$C$300=$C212))</f>
        <v>50</v>
      </c>
      <c r="O212" s="3">
        <f t="shared" si="29"/>
        <v>116806.51406055054</v>
      </c>
      <c r="P212" s="2" cm="1">
        <f t="array" ref="P212">SQRT(SUMPRODUCT(--($L$6:$L$300&lt;&gt;1),--($C$6:$C$300=$C212),$E$6:$E$300,$O$6:$O$300)/((N212-1)*SUMPRODUCT(--($L$6:$L$300&lt;&gt;1),--($C$6:$C$300=$C212),$E$6:$E$300)/N212))</f>
        <v>621.42797666652189</v>
      </c>
      <c r="Q212" s="2">
        <f t="shared" si="23"/>
        <v>237.3177346658706</v>
      </c>
      <c r="R212" s="2">
        <f t="shared" si="23"/>
        <v>1830.1017274062599</v>
      </c>
      <c r="S212" s="2">
        <f t="shared" si="30"/>
        <v>691.94005119224039</v>
      </c>
    </row>
    <row r="213" spans="2:19" x14ac:dyDescent="0.35">
      <c r="B213">
        <v>837</v>
      </c>
      <c r="C213" s="17">
        <v>8</v>
      </c>
      <c r="D213" s="22" t="s">
        <v>226</v>
      </c>
      <c r="E213" s="90">
        <f>INDEX('Revised 2019 Lockdown'!H$5:H$257,MATCH(B213,'Revised 2019 Lockdown'!B$5:B$257,0))</f>
        <v>176.99</v>
      </c>
      <c r="F213" s="7">
        <f>INDEX('Revised 2019 Lockdown'!E$5:E$257,MATCH(B213,'Revised 2019 Lockdown'!B$5:B$257,0))</f>
        <v>142476.71</v>
      </c>
      <c r="G213" s="7">
        <f>INDEX('Revised 2019 Lockdown'!F$5:F$257,MATCH(B213,'Revised 2019 Lockdown'!B$5:B$257,0))</f>
        <v>0</v>
      </c>
      <c r="H213" s="7">
        <f t="shared" si="27"/>
        <v>142476.71</v>
      </c>
      <c r="I213" s="6">
        <f t="shared" si="24"/>
        <v>804.99864399118587</v>
      </c>
      <c r="J213" s="6">
        <f t="shared" si="28"/>
        <v>804.99864399118587</v>
      </c>
      <c r="K213" s="5">
        <f t="shared" si="25"/>
        <v>142476.71</v>
      </c>
      <c r="L213" s="4">
        <f t="shared" si="26"/>
        <v>0</v>
      </c>
      <c r="M213" s="2" cm="1">
        <f t="array" ref="M213">SUMPRODUCT(--($L$6:$L$300&lt;&gt;1),--($C$6:$C$300=$C213),$H$6:$H$300)/SUMPRODUCT(--($L$6:$L$300&lt;&gt;1),--($C$6:$C$300=$C213),$E$6:$E$300)</f>
        <v>1033.7097310360653</v>
      </c>
      <c r="N213" s="1" cm="1">
        <f t="array" ref="N213">SUMPRODUCT(--($L$6:$L$300&lt;&gt;1),--($C$6:$C$300=$C213))</f>
        <v>50</v>
      </c>
      <c r="O213" s="3">
        <f t="shared" si="29"/>
        <v>52308.761337250391</v>
      </c>
      <c r="P213" s="2" cm="1">
        <f t="array" ref="P213">SQRT(SUMPRODUCT(--($L$6:$L$300&lt;&gt;1),--($C$6:$C$300=$C213),$E$6:$E$300,$O$6:$O$300)/((N213-1)*SUMPRODUCT(--($L$6:$L$300&lt;&gt;1),--($C$6:$C$300=$C213),$E$6:$E$300)/N213))</f>
        <v>621.42797666652189</v>
      </c>
      <c r="Q213" s="2">
        <f t="shared" si="23"/>
        <v>237.3177346658706</v>
      </c>
      <c r="R213" s="2">
        <f t="shared" si="23"/>
        <v>1830.1017274062599</v>
      </c>
      <c r="S213" s="2">
        <f t="shared" si="30"/>
        <v>804.99864399118587</v>
      </c>
    </row>
    <row r="214" spans="2:19" x14ac:dyDescent="0.35">
      <c r="B214">
        <v>845</v>
      </c>
      <c r="C214" s="17">
        <v>8</v>
      </c>
      <c r="D214" s="22" t="s">
        <v>298</v>
      </c>
      <c r="E214" s="90">
        <f>INDEX('Revised 2019 Lockdown'!H$5:H$257,MATCH(B214,'Revised 2019 Lockdown'!B$5:B$257,0))</f>
        <v>4.1985407326268138</v>
      </c>
      <c r="F214" s="7">
        <f>INDEX('Revised 2019 Lockdown'!E$5:E$257,MATCH(B214,'Revised 2019 Lockdown'!B$5:B$257,0))</f>
        <v>8943.76</v>
      </c>
      <c r="G214" s="7">
        <f>INDEX('Revised 2019 Lockdown'!F$5:F$257,MATCH(B214,'Revised 2019 Lockdown'!B$5:B$257,0))</f>
        <v>0</v>
      </c>
      <c r="H214" s="7">
        <f t="shared" si="27"/>
        <v>8943.76</v>
      </c>
      <c r="I214" s="6">
        <f t="shared" si="24"/>
        <v>2130.2067955416364</v>
      </c>
      <c r="J214" s="6">
        <f t="shared" si="28"/>
        <v>1830.1017274062599</v>
      </c>
      <c r="K214" s="5">
        <f t="shared" si="25"/>
        <v>7683.7566473658762</v>
      </c>
      <c r="L214" s="4">
        <f t="shared" si="26"/>
        <v>0</v>
      </c>
      <c r="M214" s="2" cm="1">
        <f t="array" ref="M214">SUMPRODUCT(--($L$6:$L$300&lt;&gt;1),--($C$6:$C$300=$C214),$H$6:$H$300)/SUMPRODUCT(--($L$6:$L$300&lt;&gt;1),--($C$6:$C$300=$C214),$E$6:$E$300)</f>
        <v>1033.7097310360653</v>
      </c>
      <c r="N214" s="1" cm="1">
        <f t="array" ref="N214">SUMPRODUCT(--($L$6:$L$300&lt;&gt;1),--($C$6:$C$300=$C214))</f>
        <v>50</v>
      </c>
      <c r="O214" s="3">
        <f t="shared" si="29"/>
        <v>1202305.8124693348</v>
      </c>
      <c r="P214" s="2" cm="1">
        <f t="array" ref="P214">SQRT(SUMPRODUCT(--($L$6:$L$300&lt;&gt;1),--($C$6:$C$300=$C214),$E$6:$E$300,$O$6:$O$300)/((N214-1)*SUMPRODUCT(--($L$6:$L$300&lt;&gt;1),--($C$6:$C$300=$C214),$E$6:$E$300)/N214))</f>
        <v>621.42797666652189</v>
      </c>
      <c r="Q214" s="2">
        <f t="shared" si="23"/>
        <v>237.3177346658706</v>
      </c>
      <c r="R214" s="2">
        <f t="shared" si="23"/>
        <v>1830.1017274062599</v>
      </c>
      <c r="S214" s="2">
        <f t="shared" si="30"/>
        <v>1830.1017274062599</v>
      </c>
    </row>
    <row r="215" spans="2:19" x14ac:dyDescent="0.35">
      <c r="B215">
        <v>847</v>
      </c>
      <c r="C215" s="17">
        <v>8</v>
      </c>
      <c r="D215" s="22" t="s">
        <v>227</v>
      </c>
      <c r="E215" s="90">
        <f>INDEX('Revised 2019 Lockdown'!H$5:H$257,MATCH(B215,'Revised 2019 Lockdown'!B$5:B$257,0))</f>
        <v>66.183100660950345</v>
      </c>
      <c r="F215" s="7">
        <f>INDEX('Revised 2019 Lockdown'!E$5:E$257,MATCH(B215,'Revised 2019 Lockdown'!B$5:B$257,0))</f>
        <v>131761.98000000001</v>
      </c>
      <c r="G215" s="7">
        <f>INDEX('Revised 2019 Lockdown'!F$5:F$257,MATCH(B215,'Revised 2019 Lockdown'!B$5:B$257,0))</f>
        <v>0</v>
      </c>
      <c r="H215" s="7">
        <f t="shared" si="27"/>
        <v>131761.98000000001</v>
      </c>
      <c r="I215" s="6">
        <f t="shared" si="24"/>
        <v>1990.8704591373553</v>
      </c>
      <c r="J215" s="6">
        <f t="shared" si="28"/>
        <v>1830.1017274062599</v>
      </c>
      <c r="K215" s="5">
        <f t="shared" si="25"/>
        <v>121121.80684470761</v>
      </c>
      <c r="L215" s="4">
        <f t="shared" si="26"/>
        <v>0</v>
      </c>
      <c r="M215" s="2" cm="1">
        <f t="array" ref="M215">SUMPRODUCT(--($L$6:$L$300&lt;&gt;1),--($C$6:$C$300=$C215),$H$6:$H$300)/SUMPRODUCT(--($L$6:$L$300&lt;&gt;1),--($C$6:$C$300=$C215),$E$6:$E$300)</f>
        <v>1033.7097310360653</v>
      </c>
      <c r="N215" s="1" cm="1">
        <f t="array" ref="N215">SUMPRODUCT(--($L$6:$L$300&lt;&gt;1),--($C$6:$C$300=$C215))</f>
        <v>50</v>
      </c>
      <c r="O215" s="3">
        <f t="shared" si="29"/>
        <v>916156.65941939165</v>
      </c>
      <c r="P215" s="2" cm="1">
        <f t="array" ref="P215">SQRT(SUMPRODUCT(--($L$6:$L$300&lt;&gt;1),--($C$6:$C$300=$C215),$E$6:$E$300,$O$6:$O$300)/((N215-1)*SUMPRODUCT(--($L$6:$L$300&lt;&gt;1),--($C$6:$C$300=$C215),$E$6:$E$300)/N215))</f>
        <v>621.42797666652189</v>
      </c>
      <c r="Q215" s="2">
        <f t="shared" si="23"/>
        <v>237.3177346658706</v>
      </c>
      <c r="R215" s="2">
        <f t="shared" si="23"/>
        <v>1830.1017274062599</v>
      </c>
      <c r="S215" s="2">
        <f t="shared" si="30"/>
        <v>1830.1017274062599</v>
      </c>
    </row>
    <row r="216" spans="2:19" x14ac:dyDescent="0.35">
      <c r="B216">
        <v>866</v>
      </c>
      <c r="C216" s="17">
        <v>8</v>
      </c>
      <c r="D216" s="22" t="s">
        <v>228</v>
      </c>
      <c r="E216" s="90">
        <f>INDEX('Revised 2019 Lockdown'!H$5:H$257,MATCH(B216,'Revised 2019 Lockdown'!B$5:B$257,0))</f>
        <v>147.75213403001072</v>
      </c>
      <c r="F216" s="7">
        <f>INDEX('Revised 2019 Lockdown'!E$5:E$257,MATCH(B216,'Revised 2019 Lockdown'!B$5:B$257,0))</f>
        <v>54975.040000000001</v>
      </c>
      <c r="G216" s="7">
        <f>INDEX('Revised 2019 Lockdown'!F$5:F$257,MATCH(B216,'Revised 2019 Lockdown'!B$5:B$257,0))</f>
        <v>0</v>
      </c>
      <c r="H216" s="7">
        <f t="shared" si="27"/>
        <v>54975.040000000001</v>
      </c>
      <c r="I216" s="6">
        <f t="shared" si="24"/>
        <v>372.07611491305926</v>
      </c>
      <c r="J216" s="6">
        <f t="shared" si="28"/>
        <v>372.07611491305926</v>
      </c>
      <c r="K216" s="5">
        <f t="shared" si="25"/>
        <v>54975.040000000001</v>
      </c>
      <c r="L216" s="4">
        <f t="shared" si="26"/>
        <v>0</v>
      </c>
      <c r="M216" s="2" cm="1">
        <f t="array" ref="M216">SUMPRODUCT(--($L$6:$L$300&lt;&gt;1),--($C$6:$C$300=$C216),$H$6:$H$300)/SUMPRODUCT(--($L$6:$L$300&lt;&gt;1),--($C$6:$C$300=$C216),$E$6:$E$300)</f>
        <v>1033.7097310360653</v>
      </c>
      <c r="N216" s="1" cm="1">
        <f t="array" ref="N216">SUMPRODUCT(--($L$6:$L$300&lt;&gt;1),--($C$6:$C$300=$C216))</f>
        <v>50</v>
      </c>
      <c r="O216" s="3">
        <f t="shared" si="29"/>
        <v>437759.04198400531</v>
      </c>
      <c r="P216" s="2" cm="1">
        <f t="array" ref="P216">SQRT(SUMPRODUCT(--($L$6:$L$300&lt;&gt;1),--($C$6:$C$300=$C216),$E$6:$E$300,$O$6:$O$300)/((N216-1)*SUMPRODUCT(--($L$6:$L$300&lt;&gt;1),--($C$6:$C$300=$C216),$E$6:$E$300)/N216))</f>
        <v>621.42797666652189</v>
      </c>
      <c r="Q216" s="2">
        <f t="shared" si="23"/>
        <v>237.3177346658706</v>
      </c>
      <c r="R216" s="2">
        <f t="shared" si="23"/>
        <v>1830.1017274062599</v>
      </c>
      <c r="S216" s="2">
        <f t="shared" si="30"/>
        <v>372.07611491305926</v>
      </c>
    </row>
    <row r="217" spans="2:19" x14ac:dyDescent="0.35">
      <c r="B217">
        <v>871</v>
      </c>
      <c r="C217" s="17">
        <v>8</v>
      </c>
      <c r="D217" s="22" t="s">
        <v>229</v>
      </c>
      <c r="E217" s="90">
        <f>INDEX('Revised 2019 Lockdown'!H$5:H$257,MATCH(B217,'Revised 2019 Lockdown'!B$5:B$257,0))</f>
        <v>12.214386102179351</v>
      </c>
      <c r="F217" s="7">
        <f>INDEX('Revised 2019 Lockdown'!E$5:E$257,MATCH(B217,'Revised 2019 Lockdown'!B$5:B$257,0))</f>
        <v>12724.9</v>
      </c>
      <c r="G217" s="7">
        <f>INDEX('Revised 2019 Lockdown'!F$5:F$257,MATCH(B217,'Revised 2019 Lockdown'!B$5:B$257,0))</f>
        <v>0</v>
      </c>
      <c r="H217" s="7">
        <f t="shared" si="27"/>
        <v>12724.9</v>
      </c>
      <c r="I217" s="6">
        <f t="shared" si="24"/>
        <v>1041.7961159529386</v>
      </c>
      <c r="J217" s="6">
        <f t="shared" si="28"/>
        <v>1041.7961159529386</v>
      </c>
      <c r="K217" s="5">
        <f t="shared" si="25"/>
        <v>12724.900000000001</v>
      </c>
      <c r="L217" s="4">
        <f t="shared" si="26"/>
        <v>0</v>
      </c>
      <c r="M217" s="2" cm="1">
        <f t="array" ref="M217">SUMPRODUCT(--($L$6:$L$300&lt;&gt;1),--($C$6:$C$300=$C217),$H$6:$H$300)/SUMPRODUCT(--($L$6:$L$300&lt;&gt;1),--($C$6:$C$300=$C217),$E$6:$E$300)</f>
        <v>1033.7097310360653</v>
      </c>
      <c r="N217" s="1" cm="1">
        <f t="array" ref="N217">SUMPRODUCT(--($L$6:$L$300&lt;&gt;1),--($C$6:$C$300=$C217))</f>
        <v>50</v>
      </c>
      <c r="O217" s="3">
        <f t="shared" si="29"/>
        <v>65.389621023837378</v>
      </c>
      <c r="P217" s="2" cm="1">
        <f t="array" ref="P217">SQRT(SUMPRODUCT(--($L$6:$L$300&lt;&gt;1),--($C$6:$C$300=$C217),$E$6:$E$300,$O$6:$O$300)/((N217-1)*SUMPRODUCT(--($L$6:$L$300&lt;&gt;1),--($C$6:$C$300=$C217),$E$6:$E$300)/N217))</f>
        <v>621.42797666652189</v>
      </c>
      <c r="Q217" s="2">
        <f t="shared" si="23"/>
        <v>237.3177346658706</v>
      </c>
      <c r="R217" s="2">
        <f t="shared" si="23"/>
        <v>1830.1017274062599</v>
      </c>
      <c r="S217" s="2">
        <f t="shared" si="30"/>
        <v>1041.7961159529386</v>
      </c>
    </row>
    <row r="218" spans="2:19" x14ac:dyDescent="0.35">
      <c r="B218">
        <v>873</v>
      </c>
      <c r="C218" s="17">
        <v>8</v>
      </c>
      <c r="D218" s="22" t="s">
        <v>230</v>
      </c>
      <c r="E218" s="90">
        <f>INDEX('Revised 2019 Lockdown'!H$5:H$257,MATCH(B218,'Revised 2019 Lockdown'!B$5:B$257,0))</f>
        <v>185.67000000000002</v>
      </c>
      <c r="F218" s="7">
        <f>INDEX('Revised 2019 Lockdown'!E$5:E$257,MATCH(B218,'Revised 2019 Lockdown'!B$5:B$257,0))</f>
        <v>74605.5</v>
      </c>
      <c r="G218" s="7">
        <f>INDEX('Revised 2019 Lockdown'!F$5:F$257,MATCH(B218,'Revised 2019 Lockdown'!B$5:B$257,0))</f>
        <v>0</v>
      </c>
      <c r="H218" s="7">
        <f t="shared" si="27"/>
        <v>74605.5</v>
      </c>
      <c r="I218" s="6">
        <f t="shared" si="24"/>
        <v>401.81774115365971</v>
      </c>
      <c r="J218" s="6">
        <f t="shared" si="28"/>
        <v>401.81774115365971</v>
      </c>
      <c r="K218" s="5">
        <f t="shared" si="25"/>
        <v>74605.5</v>
      </c>
      <c r="L218" s="4">
        <f t="shared" si="26"/>
        <v>0</v>
      </c>
      <c r="M218" s="2" cm="1">
        <f t="array" ref="M218">SUMPRODUCT(--($L$6:$L$300&lt;&gt;1),--($C$6:$C$300=$C218),$H$6:$H$300)/SUMPRODUCT(--($L$6:$L$300&lt;&gt;1),--($C$6:$C$300=$C218),$E$6:$E$300)</f>
        <v>1033.7097310360653</v>
      </c>
      <c r="N218" s="1" cm="1">
        <f t="array" ref="N218">SUMPRODUCT(--($L$6:$L$300&lt;&gt;1),--($C$6:$C$300=$C218))</f>
        <v>50</v>
      </c>
      <c r="O218" s="3">
        <f t="shared" si="29"/>
        <v>399287.48687754618</v>
      </c>
      <c r="P218" s="2" cm="1">
        <f t="array" ref="P218">SQRT(SUMPRODUCT(--($L$6:$L$300&lt;&gt;1),--($C$6:$C$300=$C218),$E$6:$E$300,$O$6:$O$300)/((N218-1)*SUMPRODUCT(--($L$6:$L$300&lt;&gt;1),--($C$6:$C$300=$C218),$E$6:$E$300)/N218))</f>
        <v>621.42797666652189</v>
      </c>
      <c r="Q218" s="2">
        <f t="shared" si="23"/>
        <v>237.3177346658706</v>
      </c>
      <c r="R218" s="2">
        <f t="shared" si="23"/>
        <v>1830.1017274062599</v>
      </c>
      <c r="S218" s="2">
        <f t="shared" si="30"/>
        <v>401.81774115365971</v>
      </c>
    </row>
    <row r="219" spans="2:19" x14ac:dyDescent="0.35">
      <c r="B219">
        <v>905</v>
      </c>
      <c r="C219" s="17">
        <v>8</v>
      </c>
      <c r="D219" s="22" t="s">
        <v>232</v>
      </c>
      <c r="E219" s="90">
        <f>INDEX('Revised 2019 Lockdown'!H$5:H$257,MATCH(B219,'Revised 2019 Lockdown'!B$5:B$257,0))</f>
        <v>93.093193074907703</v>
      </c>
      <c r="F219" s="7">
        <f>INDEX('Revised 2019 Lockdown'!E$5:E$257,MATCH(B219,'Revised 2019 Lockdown'!B$5:B$257,0))</f>
        <v>62186.54</v>
      </c>
      <c r="G219" s="7">
        <f>INDEX('Revised 2019 Lockdown'!F$5:F$257,MATCH(B219,'Revised 2019 Lockdown'!B$5:B$257,0))</f>
        <v>0</v>
      </c>
      <c r="H219" s="7">
        <f t="shared" si="27"/>
        <v>62186.54</v>
      </c>
      <c r="I219" s="6">
        <f t="shared" si="24"/>
        <v>668.00308321105092</v>
      </c>
      <c r="J219" s="6">
        <f t="shared" si="28"/>
        <v>668.00308321105092</v>
      </c>
      <c r="K219" s="5">
        <f t="shared" si="25"/>
        <v>62186.54</v>
      </c>
      <c r="L219" s="4">
        <f t="shared" si="26"/>
        <v>0</v>
      </c>
      <c r="M219" s="2" cm="1">
        <f t="array" ref="M219">SUMPRODUCT(--($L$6:$L$300&lt;&gt;1),--($C$6:$C$300=$C219),$H$6:$H$300)/SUMPRODUCT(--($L$6:$L$300&lt;&gt;1),--($C$6:$C$300=$C219),$E$6:$E$300)</f>
        <v>1033.7097310360653</v>
      </c>
      <c r="N219" s="1" cm="1">
        <f t="array" ref="N219">SUMPRODUCT(--($L$6:$L$300&lt;&gt;1),--($C$6:$C$300=$C219))</f>
        <v>50</v>
      </c>
      <c r="O219" s="3">
        <f t="shared" si="29"/>
        <v>133741.35226340906</v>
      </c>
      <c r="P219" s="2" cm="1">
        <f t="array" ref="P219">SQRT(SUMPRODUCT(--($L$6:$L$300&lt;&gt;1),--($C$6:$C$300=$C219),$E$6:$E$300,$O$6:$O$300)/((N219-1)*SUMPRODUCT(--($L$6:$L$300&lt;&gt;1),--($C$6:$C$300=$C219),$E$6:$E$300)/N219))</f>
        <v>621.42797666652189</v>
      </c>
      <c r="Q219" s="2">
        <f t="shared" si="23"/>
        <v>237.3177346658706</v>
      </c>
      <c r="R219" s="2">
        <f t="shared" si="23"/>
        <v>1830.1017274062599</v>
      </c>
      <c r="S219" s="2">
        <f t="shared" si="30"/>
        <v>668.00308321105092</v>
      </c>
    </row>
    <row r="220" spans="2:19" x14ac:dyDescent="0.35">
      <c r="B220">
        <v>907</v>
      </c>
      <c r="C220" s="17">
        <v>8</v>
      </c>
      <c r="D220" s="22" t="s">
        <v>233</v>
      </c>
      <c r="E220" s="90">
        <f>INDEX('Revised 2019 Lockdown'!H$5:H$257,MATCH(B220,'Revised 2019 Lockdown'!B$5:B$257,0))</f>
        <v>19.623398559009171</v>
      </c>
      <c r="F220" s="7">
        <f>INDEX('Revised 2019 Lockdown'!E$5:E$257,MATCH(B220,'Revised 2019 Lockdown'!B$5:B$257,0))</f>
        <v>20189.84</v>
      </c>
      <c r="G220" s="7">
        <f>INDEX('Revised 2019 Lockdown'!F$5:F$257,MATCH(B220,'Revised 2019 Lockdown'!B$5:B$257,0))</f>
        <v>0</v>
      </c>
      <c r="H220" s="7">
        <f t="shared" si="27"/>
        <v>20189.84</v>
      </c>
      <c r="I220" s="6">
        <f t="shared" si="24"/>
        <v>1028.8656136340244</v>
      </c>
      <c r="J220" s="6">
        <f t="shared" si="28"/>
        <v>1028.8656136340244</v>
      </c>
      <c r="K220" s="5">
        <f t="shared" si="25"/>
        <v>20189.84</v>
      </c>
      <c r="L220" s="4">
        <f t="shared" si="26"/>
        <v>0</v>
      </c>
      <c r="M220" s="2" cm="1">
        <f t="array" ref="M220">SUMPRODUCT(--($L$6:$L$300&lt;&gt;1),--($C$6:$C$300=$C220),$H$6:$H$300)/SUMPRODUCT(--($L$6:$L$300&lt;&gt;1),--($C$6:$C$300=$C220),$E$6:$E$300)</f>
        <v>1033.7097310360653</v>
      </c>
      <c r="N220" s="1" cm="1">
        <f t="array" ref="N220">SUMPRODUCT(--($L$6:$L$300&lt;&gt;1),--($C$6:$C$300=$C220))</f>
        <v>50</v>
      </c>
      <c r="O220" s="3">
        <f t="shared" si="29"/>
        <v>23.465473404755141</v>
      </c>
      <c r="P220" s="2" cm="1">
        <f t="array" ref="P220">SQRT(SUMPRODUCT(--($L$6:$L$300&lt;&gt;1),--($C$6:$C$300=$C220),$E$6:$E$300,$O$6:$O$300)/((N220-1)*SUMPRODUCT(--($L$6:$L$300&lt;&gt;1),--($C$6:$C$300=$C220),$E$6:$E$300)/N220))</f>
        <v>621.42797666652189</v>
      </c>
      <c r="Q220" s="2">
        <f t="shared" si="23"/>
        <v>237.3177346658706</v>
      </c>
      <c r="R220" s="2">
        <f t="shared" si="23"/>
        <v>1830.1017274062599</v>
      </c>
      <c r="S220" s="2">
        <f t="shared" si="30"/>
        <v>1028.8656136340244</v>
      </c>
    </row>
    <row r="221" spans="2:19" x14ac:dyDescent="0.35">
      <c r="B221">
        <v>918</v>
      </c>
      <c r="C221" s="17">
        <v>8</v>
      </c>
      <c r="D221" s="22" t="s">
        <v>235</v>
      </c>
      <c r="E221" s="90">
        <f>INDEX('Revised 2019 Lockdown'!H$5:H$257,MATCH(B221,'Revised 2019 Lockdown'!B$5:B$257,0))</f>
        <v>61.65731239133023</v>
      </c>
      <c r="F221" s="7">
        <f>INDEX('Revised 2019 Lockdown'!E$5:E$257,MATCH(B221,'Revised 2019 Lockdown'!B$5:B$257,0))</f>
        <v>92014.79</v>
      </c>
      <c r="G221" s="7">
        <f>INDEX('Revised 2019 Lockdown'!F$5:F$257,MATCH(B221,'Revised 2019 Lockdown'!B$5:B$257,0))</f>
        <v>0</v>
      </c>
      <c r="H221" s="7">
        <f t="shared" si="27"/>
        <v>92014.79</v>
      </c>
      <c r="I221" s="6">
        <f t="shared" si="24"/>
        <v>1492.358106950805</v>
      </c>
      <c r="J221" s="6">
        <f t="shared" si="28"/>
        <v>1492.358106950805</v>
      </c>
      <c r="K221" s="5">
        <f t="shared" si="25"/>
        <v>92014.79</v>
      </c>
      <c r="L221" s="4">
        <f t="shared" si="26"/>
        <v>0</v>
      </c>
      <c r="M221" s="2" cm="1">
        <f t="array" ref="M221">SUMPRODUCT(--($L$6:$L$300&lt;&gt;1),--($C$6:$C$300=$C221),$H$6:$H$300)/SUMPRODUCT(--($L$6:$L$300&lt;&gt;1),--($C$6:$C$300=$C221),$E$6:$E$300)</f>
        <v>1033.7097310360653</v>
      </c>
      <c r="N221" s="1" cm="1">
        <f t="array" ref="N221">SUMPRODUCT(--($L$6:$L$300&lt;&gt;1),--($C$6:$C$300=$C221))</f>
        <v>50</v>
      </c>
      <c r="O221" s="3">
        <f t="shared" si="29"/>
        <v>210358.33272922842</v>
      </c>
      <c r="P221" s="2" cm="1">
        <f t="array" ref="P221">SQRT(SUMPRODUCT(--($L$6:$L$300&lt;&gt;1),--($C$6:$C$300=$C221),$E$6:$E$300,$O$6:$O$300)/((N221-1)*SUMPRODUCT(--($L$6:$L$300&lt;&gt;1),--($C$6:$C$300=$C221),$E$6:$E$300)/N221))</f>
        <v>621.42797666652189</v>
      </c>
      <c r="Q221" s="2">
        <f t="shared" si="23"/>
        <v>237.3177346658706</v>
      </c>
      <c r="R221" s="2">
        <f t="shared" si="23"/>
        <v>1830.1017274062599</v>
      </c>
      <c r="S221" s="2">
        <f t="shared" si="30"/>
        <v>1492.358106950805</v>
      </c>
    </row>
    <row r="222" spans="2:19" x14ac:dyDescent="0.35">
      <c r="B222">
        <v>922</v>
      </c>
      <c r="C222" s="17">
        <v>8</v>
      </c>
      <c r="D222" s="22" t="s">
        <v>236</v>
      </c>
      <c r="E222" s="90">
        <f>INDEX('Revised 2019 Lockdown'!H$5:H$257,MATCH(B222,'Revised 2019 Lockdown'!B$5:B$257,0))</f>
        <v>48.13</v>
      </c>
      <c r="F222" s="7">
        <f>INDEX('Revised 2019 Lockdown'!E$5:E$257,MATCH(B222,'Revised 2019 Lockdown'!B$5:B$257,0))</f>
        <v>133724.62</v>
      </c>
      <c r="G222" s="7">
        <f>INDEX('Revised 2019 Lockdown'!F$5:F$257,MATCH(B222,'Revised 2019 Lockdown'!B$5:B$257,0))</f>
        <v>5755.5599999999995</v>
      </c>
      <c r="H222" s="7">
        <f t="shared" si="27"/>
        <v>127969.06</v>
      </c>
      <c r="I222" s="6">
        <f t="shared" si="24"/>
        <v>2658.8211094951171</v>
      </c>
      <c r="J222" s="6">
        <f t="shared" si="28"/>
        <v>1830.1017274062599</v>
      </c>
      <c r="K222" s="5">
        <f t="shared" si="25"/>
        <v>88082.796140063292</v>
      </c>
      <c r="L222" s="4">
        <f t="shared" si="26"/>
        <v>0</v>
      </c>
      <c r="M222" s="2" cm="1">
        <f t="array" ref="M222">SUMPRODUCT(--($L$6:$L$300&lt;&gt;1),--($C$6:$C$300=$C222),$H$6:$H$300)/SUMPRODUCT(--($L$6:$L$300&lt;&gt;1),--($C$6:$C$300=$C222),$E$6:$E$300)</f>
        <v>1033.7097310360653</v>
      </c>
      <c r="N222" s="1" cm="1">
        <f t="array" ref="N222">SUMPRODUCT(--($L$6:$L$300&lt;&gt;1),--($C$6:$C$300=$C222))</f>
        <v>50</v>
      </c>
      <c r="O222" s="3">
        <f t="shared" si="29"/>
        <v>2640986.9923970797</v>
      </c>
      <c r="P222" s="2" cm="1">
        <f t="array" ref="P222">SQRT(SUMPRODUCT(--($L$6:$L$300&lt;&gt;1),--($C$6:$C$300=$C222),$E$6:$E$300,$O$6:$O$300)/((N222-1)*SUMPRODUCT(--($L$6:$L$300&lt;&gt;1),--($C$6:$C$300=$C222),$E$6:$E$300)/N222))</f>
        <v>621.42797666652189</v>
      </c>
      <c r="Q222" s="2">
        <f t="shared" si="23"/>
        <v>237.3177346658706</v>
      </c>
      <c r="R222" s="2">
        <f t="shared" si="23"/>
        <v>1830.1017274062599</v>
      </c>
      <c r="S222" s="2">
        <f t="shared" si="30"/>
        <v>1830.1017274062599</v>
      </c>
    </row>
    <row r="223" spans="2:19" x14ac:dyDescent="0.35">
      <c r="B223">
        <v>924</v>
      </c>
      <c r="C223" s="17">
        <v>8</v>
      </c>
      <c r="D223" s="22" t="s">
        <v>237</v>
      </c>
      <c r="E223" s="90">
        <f>INDEX('Revised 2019 Lockdown'!H$5:H$257,MATCH(B223,'Revised 2019 Lockdown'!B$5:B$257,0))</f>
        <v>94.709546028343453</v>
      </c>
      <c r="F223" s="7">
        <f>INDEX('Revised 2019 Lockdown'!E$5:E$257,MATCH(B223,'Revised 2019 Lockdown'!B$5:B$257,0))</f>
        <v>60061.57</v>
      </c>
      <c r="G223" s="7">
        <f>INDEX('Revised 2019 Lockdown'!F$5:F$257,MATCH(B223,'Revised 2019 Lockdown'!B$5:B$257,0))</f>
        <v>0</v>
      </c>
      <c r="H223" s="7">
        <f t="shared" si="27"/>
        <v>60061.57</v>
      </c>
      <c r="I223" s="6">
        <f t="shared" si="24"/>
        <v>634.1659581181558</v>
      </c>
      <c r="J223" s="6">
        <f t="shared" si="28"/>
        <v>634.1659581181558</v>
      </c>
      <c r="K223" s="5">
        <f t="shared" si="25"/>
        <v>60061.570000000007</v>
      </c>
      <c r="L223" s="4">
        <f t="shared" si="26"/>
        <v>0</v>
      </c>
      <c r="M223" s="2" cm="1">
        <f t="array" ref="M223">SUMPRODUCT(--($L$6:$L$300&lt;&gt;1),--($C$6:$C$300=$C223),$H$6:$H$300)/SUMPRODUCT(--($L$6:$L$300&lt;&gt;1),--($C$6:$C$300=$C223),$E$6:$E$300)</f>
        <v>1033.7097310360653</v>
      </c>
      <c r="N223" s="1" cm="1">
        <f t="array" ref="N223">SUMPRODUCT(--($L$6:$L$300&lt;&gt;1),--($C$6:$C$300=$C223))</f>
        <v>50</v>
      </c>
      <c r="O223" s="3">
        <f t="shared" si="29"/>
        <v>159635.22647747799</v>
      </c>
      <c r="P223" s="2" cm="1">
        <f t="array" ref="P223">SQRT(SUMPRODUCT(--($L$6:$L$300&lt;&gt;1),--($C$6:$C$300=$C223),$E$6:$E$300,$O$6:$O$300)/((N223-1)*SUMPRODUCT(--($L$6:$L$300&lt;&gt;1),--($C$6:$C$300=$C223),$E$6:$E$300)/N223))</f>
        <v>621.42797666652189</v>
      </c>
      <c r="Q223" s="2">
        <f t="shared" si="23"/>
        <v>237.3177346658706</v>
      </c>
      <c r="R223" s="2">
        <f t="shared" si="23"/>
        <v>1830.1017274062599</v>
      </c>
      <c r="S223" s="2">
        <f t="shared" si="30"/>
        <v>634.1659581181558</v>
      </c>
    </row>
    <row r="224" spans="2:19" x14ac:dyDescent="0.35">
      <c r="B224">
        <v>929</v>
      </c>
      <c r="C224" s="17">
        <v>8</v>
      </c>
      <c r="D224" s="22" t="s">
        <v>238</v>
      </c>
      <c r="E224" s="90">
        <f>INDEX('Revised 2019 Lockdown'!H$5:H$257,MATCH(B224,'Revised 2019 Lockdown'!B$5:B$257,0))</f>
        <v>53.697866226033099</v>
      </c>
      <c r="F224" s="7">
        <f>INDEX('Revised 2019 Lockdown'!E$5:E$257,MATCH(B224,'Revised 2019 Lockdown'!B$5:B$257,0))</f>
        <v>45278.1</v>
      </c>
      <c r="G224" s="7">
        <f>INDEX('Revised 2019 Lockdown'!F$5:F$257,MATCH(B224,'Revised 2019 Lockdown'!B$5:B$257,0))</f>
        <v>0</v>
      </c>
      <c r="H224" s="7">
        <f t="shared" si="27"/>
        <v>45278.1</v>
      </c>
      <c r="I224" s="6">
        <f t="shared" si="24"/>
        <v>843.20110243130785</v>
      </c>
      <c r="J224" s="6">
        <f t="shared" si="28"/>
        <v>843.20110243130785</v>
      </c>
      <c r="K224" s="5">
        <f t="shared" si="25"/>
        <v>45278.1</v>
      </c>
      <c r="L224" s="4">
        <f t="shared" si="26"/>
        <v>0</v>
      </c>
      <c r="M224" s="2" cm="1">
        <f t="array" ref="M224">SUMPRODUCT(--($L$6:$L$300&lt;&gt;1),--($C$6:$C$300=$C224),$H$6:$H$300)/SUMPRODUCT(--($L$6:$L$300&lt;&gt;1),--($C$6:$C$300=$C224),$E$6:$E$300)</f>
        <v>1033.7097310360653</v>
      </c>
      <c r="N224" s="1" cm="1">
        <f t="array" ref="N224">SUMPRODUCT(--($L$6:$L$300&lt;&gt;1),--($C$6:$C$300=$C224))</f>
        <v>50</v>
      </c>
      <c r="O224" s="3">
        <f t="shared" si="29"/>
        <v>36293.537572865389</v>
      </c>
      <c r="P224" s="2" cm="1">
        <f t="array" ref="P224">SQRT(SUMPRODUCT(--($L$6:$L$300&lt;&gt;1),--($C$6:$C$300=$C224),$E$6:$E$300,$O$6:$O$300)/((N224-1)*SUMPRODUCT(--($L$6:$L$300&lt;&gt;1),--($C$6:$C$300=$C224),$E$6:$E$300)/N224))</f>
        <v>621.42797666652189</v>
      </c>
      <c r="Q224" s="2">
        <f t="shared" si="23"/>
        <v>237.3177346658706</v>
      </c>
      <c r="R224" s="2">
        <f t="shared" si="23"/>
        <v>1830.1017274062599</v>
      </c>
      <c r="S224" s="2">
        <f t="shared" si="30"/>
        <v>843.20110243130785</v>
      </c>
    </row>
    <row r="225" spans="2:19" x14ac:dyDescent="0.35">
      <c r="B225">
        <v>955</v>
      </c>
      <c r="C225" s="17">
        <v>8</v>
      </c>
      <c r="D225" s="22" t="s">
        <v>239</v>
      </c>
      <c r="E225" s="90">
        <f>INDEX('Revised 2019 Lockdown'!H$5:H$257,MATCH(B225,'Revised 2019 Lockdown'!B$5:B$257,0))</f>
        <v>50.276820820063051</v>
      </c>
      <c r="F225" s="7">
        <f>INDEX('Revised 2019 Lockdown'!E$5:E$257,MATCH(B225,'Revised 2019 Lockdown'!B$5:B$257,0))</f>
        <v>25073.62</v>
      </c>
      <c r="G225" s="7">
        <f>INDEX('Revised 2019 Lockdown'!F$5:F$257,MATCH(B225,'Revised 2019 Lockdown'!B$5:B$257,0))</f>
        <v>0</v>
      </c>
      <c r="H225" s="7">
        <f t="shared" si="27"/>
        <v>25073.62</v>
      </c>
      <c r="I225" s="6">
        <f t="shared" si="24"/>
        <v>498.71132643284255</v>
      </c>
      <c r="J225" s="6">
        <f t="shared" si="28"/>
        <v>498.71132643284255</v>
      </c>
      <c r="K225" s="5">
        <f t="shared" si="25"/>
        <v>25073.62</v>
      </c>
      <c r="L225" s="4">
        <f t="shared" si="26"/>
        <v>0</v>
      </c>
      <c r="M225" s="2" cm="1">
        <f t="array" ref="M225">SUMPRODUCT(--($L$6:$L$300&lt;&gt;1),--($C$6:$C$300=$C225),$H$6:$H$300)/SUMPRODUCT(--($L$6:$L$300&lt;&gt;1),--($C$6:$C$300=$C225),$E$6:$E$300)</f>
        <v>1033.7097310360653</v>
      </c>
      <c r="N225" s="1" cm="1">
        <f t="array" ref="N225">SUMPRODUCT(--($L$6:$L$300&lt;&gt;1),--($C$6:$C$300=$C225))</f>
        <v>50</v>
      </c>
      <c r="O225" s="3">
        <f t="shared" si="29"/>
        <v>286223.29292799364</v>
      </c>
      <c r="P225" s="2" cm="1">
        <f t="array" ref="P225">SQRT(SUMPRODUCT(--($L$6:$L$300&lt;&gt;1),--($C$6:$C$300=$C225),$E$6:$E$300,$O$6:$O$300)/((N225-1)*SUMPRODUCT(--($L$6:$L$300&lt;&gt;1),--($C$6:$C$300=$C225),$E$6:$E$300)/N225))</f>
        <v>621.42797666652189</v>
      </c>
      <c r="Q225" s="2">
        <f t="shared" si="23"/>
        <v>237.3177346658706</v>
      </c>
      <c r="R225" s="2">
        <f t="shared" si="23"/>
        <v>1830.1017274062599</v>
      </c>
      <c r="S225" s="2">
        <f t="shared" si="30"/>
        <v>498.71132643284255</v>
      </c>
    </row>
    <row r="226" spans="2:19" x14ac:dyDescent="0.35">
      <c r="B226">
        <v>973</v>
      </c>
      <c r="C226" s="17">
        <v>8</v>
      </c>
      <c r="D226" s="22" t="s">
        <v>240</v>
      </c>
      <c r="E226" s="90">
        <f>INDEX('Revised 2019 Lockdown'!H$5:H$257,MATCH(B226,'Revised 2019 Lockdown'!B$5:B$257,0))</f>
        <v>8.1012111451691897</v>
      </c>
      <c r="F226" s="7">
        <f>INDEX('Revised 2019 Lockdown'!E$5:E$257,MATCH(B226,'Revised 2019 Lockdown'!B$5:B$257,0))</f>
        <v>8741.84</v>
      </c>
      <c r="G226" s="7">
        <f>INDEX('Revised 2019 Lockdown'!F$5:F$257,MATCH(B226,'Revised 2019 Lockdown'!B$5:B$257,0))</f>
        <v>0</v>
      </c>
      <c r="H226" s="7">
        <f t="shared" si="27"/>
        <v>8741.84</v>
      </c>
      <c r="I226" s="6">
        <f t="shared" si="24"/>
        <v>1079.0781579878735</v>
      </c>
      <c r="J226" s="6">
        <f t="shared" si="28"/>
        <v>1079.0781579878735</v>
      </c>
      <c r="K226" s="5">
        <f t="shared" si="25"/>
        <v>8741.84</v>
      </c>
      <c r="L226" s="4">
        <f t="shared" si="26"/>
        <v>0</v>
      </c>
      <c r="M226" s="2" cm="1">
        <f t="array" ref="M226">SUMPRODUCT(--($L$6:$L$300&lt;&gt;1),--($C$6:$C$300=$C226),$H$6:$H$300)/SUMPRODUCT(--($L$6:$L$300&lt;&gt;1),--($C$6:$C$300=$C226),$E$6:$E$300)</f>
        <v>1033.7097310360653</v>
      </c>
      <c r="N226" s="1" cm="1">
        <f t="array" ref="N226">SUMPRODUCT(--($L$6:$L$300&lt;&gt;1),--($C$6:$C$300=$C226))</f>
        <v>50</v>
      </c>
      <c r="O226" s="3">
        <f t="shared" si="29"/>
        <v>2058.294164081562</v>
      </c>
      <c r="P226" s="2" cm="1">
        <f t="array" ref="P226">SQRT(SUMPRODUCT(--($L$6:$L$300&lt;&gt;1),--($C$6:$C$300=$C226),$E$6:$E$300,$O$6:$O$300)/((N226-1)*SUMPRODUCT(--($L$6:$L$300&lt;&gt;1),--($C$6:$C$300=$C226),$E$6:$E$300)/N226))</f>
        <v>621.42797666652189</v>
      </c>
      <c r="Q226" s="2">
        <f t="shared" si="23"/>
        <v>237.3177346658706</v>
      </c>
      <c r="R226" s="2">
        <f t="shared" si="23"/>
        <v>1830.1017274062599</v>
      </c>
      <c r="S226" s="2">
        <f t="shared" si="30"/>
        <v>1079.0781579878735</v>
      </c>
    </row>
    <row r="227" spans="2:19" x14ac:dyDescent="0.35">
      <c r="B227">
        <v>974</v>
      </c>
      <c r="C227" s="17">
        <v>8</v>
      </c>
      <c r="D227" s="22" t="s">
        <v>241</v>
      </c>
      <c r="E227" s="90">
        <f>INDEX('Revised 2019 Lockdown'!H$5:H$257,MATCH(B227,'Revised 2019 Lockdown'!B$5:B$257,0))</f>
        <v>17.47</v>
      </c>
      <c r="F227" s="7">
        <f>INDEX('Revised 2019 Lockdown'!E$5:E$257,MATCH(B227,'Revised 2019 Lockdown'!B$5:B$257,0))</f>
        <v>15310.94</v>
      </c>
      <c r="G227" s="7">
        <f>INDEX('Revised 2019 Lockdown'!F$5:F$257,MATCH(B227,'Revised 2019 Lockdown'!B$5:B$257,0))</f>
        <v>0</v>
      </c>
      <c r="H227" s="7">
        <f t="shared" si="27"/>
        <v>15310.94</v>
      </c>
      <c r="I227" s="6">
        <f t="shared" si="24"/>
        <v>876.41327990841455</v>
      </c>
      <c r="J227" s="6">
        <f t="shared" si="28"/>
        <v>876.41327990841455</v>
      </c>
      <c r="K227" s="5">
        <f t="shared" si="25"/>
        <v>15310.94</v>
      </c>
      <c r="L227" s="4">
        <f t="shared" si="26"/>
        <v>0</v>
      </c>
      <c r="M227" s="2" cm="1">
        <f t="array" ref="M227">SUMPRODUCT(--($L$6:$L$300&lt;&gt;1),--($C$6:$C$300=$C227),$H$6:$H$300)/SUMPRODUCT(--($L$6:$L$300&lt;&gt;1),--($C$6:$C$300=$C227),$E$6:$E$300)</f>
        <v>1033.7097310360653</v>
      </c>
      <c r="N227" s="1" cm="1">
        <f t="array" ref="N227">SUMPRODUCT(--($L$6:$L$300&lt;&gt;1),--($C$6:$C$300=$C227))</f>
        <v>50</v>
      </c>
      <c r="O227" s="3">
        <f t="shared" si="29"/>
        <v>24742.173537353403</v>
      </c>
      <c r="P227" s="2" cm="1">
        <f t="array" ref="P227">SQRT(SUMPRODUCT(--($L$6:$L$300&lt;&gt;1),--($C$6:$C$300=$C227),$E$6:$E$300,$O$6:$O$300)/((N227-1)*SUMPRODUCT(--($L$6:$L$300&lt;&gt;1),--($C$6:$C$300=$C227),$E$6:$E$300)/N227))</f>
        <v>621.42797666652189</v>
      </c>
      <c r="Q227" s="2">
        <f t="shared" si="23"/>
        <v>237.3177346658706</v>
      </c>
      <c r="R227" s="2">
        <f t="shared" si="23"/>
        <v>1830.1017274062599</v>
      </c>
      <c r="S227" s="2">
        <f t="shared" si="30"/>
        <v>876.41327990841455</v>
      </c>
    </row>
    <row r="228" spans="2:19" x14ac:dyDescent="0.35">
      <c r="B228">
        <v>985</v>
      </c>
      <c r="C228" s="17">
        <v>8</v>
      </c>
      <c r="D228" s="22" t="s">
        <v>243</v>
      </c>
      <c r="E228" s="90">
        <f>INDEX('Revised 2019 Lockdown'!H$5:H$257,MATCH(B228,'Revised 2019 Lockdown'!B$5:B$257,0))</f>
        <v>65.667615124449199</v>
      </c>
      <c r="F228" s="7">
        <f>INDEX('Revised 2019 Lockdown'!E$5:E$257,MATCH(B228,'Revised 2019 Lockdown'!B$5:B$257,0))</f>
        <v>119730.94</v>
      </c>
      <c r="G228" s="7">
        <f>INDEX('Revised 2019 Lockdown'!F$5:F$257,MATCH(B228,'Revised 2019 Lockdown'!B$5:B$257,0))</f>
        <v>0</v>
      </c>
      <c r="H228" s="7">
        <f t="shared" si="27"/>
        <v>119730.94</v>
      </c>
      <c r="I228" s="6">
        <f t="shared" si="24"/>
        <v>1823.2874724183805</v>
      </c>
      <c r="J228" s="6">
        <f t="shared" si="28"/>
        <v>1823.2874724183805</v>
      </c>
      <c r="K228" s="5">
        <f t="shared" si="25"/>
        <v>119730.94</v>
      </c>
      <c r="L228" s="4">
        <f t="shared" si="26"/>
        <v>0</v>
      </c>
      <c r="M228" s="2" cm="1">
        <f t="array" ref="M228">SUMPRODUCT(--($L$6:$L$300&lt;&gt;1),--($C$6:$C$300=$C228),$H$6:$H$300)/SUMPRODUCT(--($L$6:$L$300&lt;&gt;1),--($C$6:$C$300=$C228),$E$6:$E$300)</f>
        <v>1033.7097310360653</v>
      </c>
      <c r="N228" s="1" cm="1">
        <f t="array" ref="N228">SUMPRODUCT(--($L$6:$L$300&lt;&gt;1),--($C$6:$C$300=$C228))</f>
        <v>50</v>
      </c>
      <c r="O228" s="3">
        <f t="shared" si="29"/>
        <v>623433.00968639832</v>
      </c>
      <c r="P228" s="2" cm="1">
        <f t="array" ref="P228">SQRT(SUMPRODUCT(--($L$6:$L$300&lt;&gt;1),--($C$6:$C$300=$C228),$E$6:$E$300,$O$6:$O$300)/((N228-1)*SUMPRODUCT(--($L$6:$L$300&lt;&gt;1),--($C$6:$C$300=$C228),$E$6:$E$300)/N228))</f>
        <v>621.42797666652189</v>
      </c>
      <c r="Q228" s="2">
        <f t="shared" si="23"/>
        <v>237.3177346658706</v>
      </c>
      <c r="R228" s="2">
        <f t="shared" si="23"/>
        <v>1830.1017274062599</v>
      </c>
      <c r="S228" s="2">
        <f t="shared" si="30"/>
        <v>1823.2874724183805</v>
      </c>
    </row>
    <row r="229" spans="2:19" x14ac:dyDescent="0.35">
      <c r="B229">
        <v>159</v>
      </c>
      <c r="C229" s="17">
        <v>9</v>
      </c>
      <c r="D229" s="22" t="s">
        <v>245</v>
      </c>
      <c r="E229" s="90">
        <f>INDEX('Revised 2019 Lockdown'!H$5:H$257,MATCH(B229,'Revised 2019 Lockdown'!B$5:B$257,0))</f>
        <v>721.93312534833865</v>
      </c>
      <c r="F229" s="7">
        <f>INDEX('Revised 2019 Lockdown'!E$5:E$257,MATCH(B229,'Revised 2019 Lockdown'!B$5:B$257,0))</f>
        <v>166217.32</v>
      </c>
      <c r="G229" s="7">
        <f>INDEX('Revised 2019 Lockdown'!F$5:F$257,MATCH(B229,'Revised 2019 Lockdown'!B$5:B$257,0))</f>
        <v>0</v>
      </c>
      <c r="H229" s="7">
        <f t="shared" si="27"/>
        <v>166217.32</v>
      </c>
      <c r="I229" s="6">
        <f t="shared" si="24"/>
        <v>230.2392204538319</v>
      </c>
      <c r="J229" s="6">
        <f t="shared" si="28"/>
        <v>230.2392204538319</v>
      </c>
      <c r="K229" s="5">
        <f t="shared" si="25"/>
        <v>166217.32</v>
      </c>
      <c r="L229" s="4">
        <f t="shared" si="26"/>
        <v>0</v>
      </c>
      <c r="M229" s="2" cm="1">
        <f t="array" ref="M229">SUMPRODUCT(--($L$6:$L$300&lt;&gt;1),--($C$6:$C$300=$C229),$H$6:$H$300)/SUMPRODUCT(--($L$6:$L$300&lt;&gt;1),--($C$6:$C$300=$C229),$E$6:$E$300)</f>
        <v>830.76761000731028</v>
      </c>
      <c r="N229" s="1" cm="1">
        <f t="array" ref="N229">SUMPRODUCT(--($L$6:$L$300&lt;&gt;1),--($C$6:$C$300=$C229))</f>
        <v>30</v>
      </c>
      <c r="O229" s="3">
        <f t="shared" si="29"/>
        <v>360634.34665969433</v>
      </c>
      <c r="P229" s="2" cm="1">
        <f t="array" ref="P229">SQRT(SUMPRODUCT(--($L$6:$L$300&lt;&gt;1),--($C$6:$C$300=$C229),$E$6:$E$300,$O$6:$O$300)/((N229-1)*SUMPRODUCT(--($L$6:$L$300&lt;&gt;1),--($C$6:$C$300=$C229),$E$6:$E$300)/N229))</f>
        <v>674.70305904956047</v>
      </c>
      <c r="Q229" s="2">
        <f t="shared" si="23"/>
        <v>-33.899151595384978</v>
      </c>
      <c r="R229" s="2">
        <f t="shared" si="23"/>
        <v>1695.4343716100057</v>
      </c>
      <c r="S229" s="2">
        <f t="shared" si="30"/>
        <v>230.2392204538319</v>
      </c>
    </row>
    <row r="230" spans="2:19" x14ac:dyDescent="0.35">
      <c r="B230">
        <v>173</v>
      </c>
      <c r="C230" s="17">
        <v>9</v>
      </c>
      <c r="D230" s="22" t="s">
        <v>246</v>
      </c>
      <c r="E230" s="90">
        <f>INDEX('Revised 2019 Lockdown'!H$5:H$257,MATCH(B230,'Revised 2019 Lockdown'!B$5:B$257,0))</f>
        <v>317.52000000000004</v>
      </c>
      <c r="F230" s="7">
        <f>INDEX('Revised 2019 Lockdown'!E$5:E$257,MATCH(B230,'Revised 2019 Lockdown'!B$5:B$257,0))</f>
        <v>188734.3</v>
      </c>
      <c r="G230" s="7">
        <f>INDEX('Revised 2019 Lockdown'!F$5:F$257,MATCH(B230,'Revised 2019 Lockdown'!B$5:B$257,0))</f>
        <v>0</v>
      </c>
      <c r="H230" s="7">
        <f t="shared" si="27"/>
        <v>188734.3</v>
      </c>
      <c r="I230" s="6">
        <f t="shared" si="24"/>
        <v>594.40129755605938</v>
      </c>
      <c r="J230" s="6">
        <f t="shared" si="28"/>
        <v>594.40129755605938</v>
      </c>
      <c r="K230" s="5">
        <f t="shared" si="25"/>
        <v>188734.3</v>
      </c>
      <c r="L230" s="4">
        <f t="shared" si="26"/>
        <v>0</v>
      </c>
      <c r="M230" s="2" cm="1">
        <f t="array" ref="M230">SUMPRODUCT(--($L$6:$L$300&lt;&gt;1),--($C$6:$C$300=$C230),$H$6:$H$300)/SUMPRODUCT(--($L$6:$L$300&lt;&gt;1),--($C$6:$C$300=$C230),$E$6:$E$300)</f>
        <v>830.76761000731028</v>
      </c>
      <c r="N230" s="1" cm="1">
        <f t="array" ref="N230">SUMPRODUCT(--($L$6:$L$300&lt;&gt;1),--($C$6:$C$300=$C230))</f>
        <v>30</v>
      </c>
      <c r="O230" s="3">
        <f t="shared" si="29"/>
        <v>55869.033661802372</v>
      </c>
      <c r="P230" s="2" cm="1">
        <f t="array" ref="P230">SQRT(SUMPRODUCT(--($L$6:$L$300&lt;&gt;1),--($C$6:$C$300=$C230),$E$6:$E$300,$O$6:$O$300)/((N230-1)*SUMPRODUCT(--($L$6:$L$300&lt;&gt;1),--($C$6:$C$300=$C230),$E$6:$E$300)/N230))</f>
        <v>674.70305904956047</v>
      </c>
      <c r="Q230" s="2">
        <f t="shared" si="23"/>
        <v>-33.899151595384978</v>
      </c>
      <c r="R230" s="2">
        <f t="shared" si="23"/>
        <v>1695.4343716100057</v>
      </c>
      <c r="S230" s="2">
        <f t="shared" si="30"/>
        <v>594.40129755605938</v>
      </c>
    </row>
    <row r="231" spans="2:19" x14ac:dyDescent="0.35">
      <c r="B231">
        <v>204</v>
      </c>
      <c r="C231" s="17">
        <v>9</v>
      </c>
      <c r="D231" s="22" t="s">
        <v>247</v>
      </c>
      <c r="E231" s="90">
        <f>INDEX('Revised 2019 Lockdown'!H$5:H$257,MATCH(B231,'Revised 2019 Lockdown'!B$5:B$257,0))</f>
        <v>445.31300985280456</v>
      </c>
      <c r="F231" s="7">
        <f>INDEX('Revised 2019 Lockdown'!E$5:E$257,MATCH(B231,'Revised 2019 Lockdown'!B$5:B$257,0))</f>
        <v>526325.63</v>
      </c>
      <c r="G231" s="7">
        <f>INDEX('Revised 2019 Lockdown'!F$5:F$257,MATCH(B231,'Revised 2019 Lockdown'!B$5:B$257,0))</f>
        <v>0</v>
      </c>
      <c r="H231" s="7">
        <f t="shared" si="27"/>
        <v>526325.63</v>
      </c>
      <c r="I231" s="6">
        <f t="shared" si="24"/>
        <v>1181.9228685323469</v>
      </c>
      <c r="J231" s="6">
        <f t="shared" si="28"/>
        <v>1181.9228685323469</v>
      </c>
      <c r="K231" s="5">
        <f t="shared" si="25"/>
        <v>526325.63</v>
      </c>
      <c r="L231" s="4">
        <f t="shared" si="26"/>
        <v>0</v>
      </c>
      <c r="M231" s="2" cm="1">
        <f t="array" ref="M231">SUMPRODUCT(--($L$6:$L$300&lt;&gt;1),--($C$6:$C$300=$C231),$H$6:$H$300)/SUMPRODUCT(--($L$6:$L$300&lt;&gt;1),--($C$6:$C$300=$C231),$E$6:$E$300)</f>
        <v>830.76761000731028</v>
      </c>
      <c r="N231" s="1" cm="1">
        <f t="array" ref="N231">SUMPRODUCT(--($L$6:$L$300&lt;&gt;1),--($C$6:$C$300=$C231))</f>
        <v>30</v>
      </c>
      <c r="O231" s="3">
        <f t="shared" si="29"/>
        <v>123310.01558978531</v>
      </c>
      <c r="P231" s="2" cm="1">
        <f t="array" ref="P231">SQRT(SUMPRODUCT(--($L$6:$L$300&lt;&gt;1),--($C$6:$C$300=$C231),$E$6:$E$300,$O$6:$O$300)/((N231-1)*SUMPRODUCT(--($L$6:$L$300&lt;&gt;1),--($C$6:$C$300=$C231),$E$6:$E$300)/N231))</f>
        <v>674.70305904956047</v>
      </c>
      <c r="Q231" s="2">
        <f t="shared" si="23"/>
        <v>-33.899151595384978</v>
      </c>
      <c r="R231" s="2">
        <f t="shared" si="23"/>
        <v>1695.4343716100057</v>
      </c>
      <c r="S231" s="2">
        <f t="shared" si="30"/>
        <v>1181.9228685323469</v>
      </c>
    </row>
    <row r="232" spans="2:19" x14ac:dyDescent="0.35">
      <c r="B232">
        <v>230</v>
      </c>
      <c r="C232" s="17">
        <v>9</v>
      </c>
      <c r="D232" s="22" t="s">
        <v>249</v>
      </c>
      <c r="E232" s="90">
        <f>INDEX('Revised 2019 Lockdown'!H$5:H$257,MATCH(B232,'Revised 2019 Lockdown'!B$5:B$257,0))</f>
        <v>137.3463158270811</v>
      </c>
      <c r="F232" s="7">
        <f>INDEX('Revised 2019 Lockdown'!E$5:E$257,MATCH(B232,'Revised 2019 Lockdown'!B$5:B$257,0))</f>
        <v>102952.81</v>
      </c>
      <c r="G232" s="7">
        <f>INDEX('Revised 2019 Lockdown'!F$5:F$257,MATCH(B232,'Revised 2019 Lockdown'!B$5:B$257,0))</f>
        <v>1799.3000000000002</v>
      </c>
      <c r="H232" s="7">
        <f t="shared" si="27"/>
        <v>101153.51</v>
      </c>
      <c r="I232" s="6">
        <f t="shared" si="24"/>
        <v>736.48506252874074</v>
      </c>
      <c r="J232" s="6">
        <f t="shared" si="28"/>
        <v>736.48506252874074</v>
      </c>
      <c r="K232" s="5">
        <f t="shared" si="25"/>
        <v>101153.51</v>
      </c>
      <c r="L232" s="4">
        <f t="shared" si="26"/>
        <v>0</v>
      </c>
      <c r="M232" s="2" cm="1">
        <f t="array" ref="M232">SUMPRODUCT(--($L$6:$L$300&lt;&gt;1),--($C$6:$C$300=$C232),$H$6:$H$300)/SUMPRODUCT(--($L$6:$L$300&lt;&gt;1),--($C$6:$C$300=$C232),$E$6:$E$300)</f>
        <v>830.76761000731028</v>
      </c>
      <c r="N232" s="1" cm="1">
        <f t="array" ref="N232">SUMPRODUCT(--($L$6:$L$300&lt;&gt;1),--($C$6:$C$300=$C232))</f>
        <v>30</v>
      </c>
      <c r="O232" s="3">
        <f t="shared" si="29"/>
        <v>8889.1987590487188</v>
      </c>
      <c r="P232" s="2" cm="1">
        <f t="array" ref="P232">SQRT(SUMPRODUCT(--($L$6:$L$300&lt;&gt;1),--($C$6:$C$300=$C232),$E$6:$E$300,$O$6:$O$300)/((N232-1)*SUMPRODUCT(--($L$6:$L$300&lt;&gt;1),--($C$6:$C$300=$C232),$E$6:$E$300)/N232))</f>
        <v>674.70305904956047</v>
      </c>
      <c r="Q232" s="2">
        <f t="shared" si="23"/>
        <v>-33.899151595384978</v>
      </c>
      <c r="R232" s="2">
        <f t="shared" si="23"/>
        <v>1695.4343716100057</v>
      </c>
      <c r="S232" s="2">
        <f t="shared" si="30"/>
        <v>736.48506252874074</v>
      </c>
    </row>
    <row r="233" spans="2:19" x14ac:dyDescent="0.35">
      <c r="B233">
        <v>277</v>
      </c>
      <c r="C233" s="17">
        <v>9</v>
      </c>
      <c r="D233" s="22" t="s">
        <v>250</v>
      </c>
      <c r="E233" s="90">
        <f>INDEX('Revised 2019 Lockdown'!H$5:H$257,MATCH(B233,'Revised 2019 Lockdown'!B$5:B$257,0))</f>
        <v>77.20924891627962</v>
      </c>
      <c r="F233" s="7">
        <f>INDEX('Revised 2019 Lockdown'!E$5:E$257,MATCH(B233,'Revised 2019 Lockdown'!B$5:B$257,0))</f>
        <v>193093.73</v>
      </c>
      <c r="G233" s="7">
        <f>INDEX('Revised 2019 Lockdown'!F$5:F$257,MATCH(B233,'Revised 2019 Lockdown'!B$5:B$257,0))</f>
        <v>5454.62</v>
      </c>
      <c r="H233" s="7">
        <f t="shared" si="27"/>
        <v>187639.11000000002</v>
      </c>
      <c r="I233" s="6">
        <f t="shared" si="24"/>
        <v>2430.2672624553429</v>
      </c>
      <c r="J233" s="6">
        <f t="shared" si="28"/>
        <v>1695.4343716100057</v>
      </c>
      <c r="K233" s="5">
        <f t="shared" si="25"/>
        <v>130903.21441885305</v>
      </c>
      <c r="L233" s="4">
        <f t="shared" si="26"/>
        <v>0</v>
      </c>
      <c r="M233" s="2" cm="1">
        <f t="array" ref="M233">SUMPRODUCT(--($L$6:$L$300&lt;&gt;1),--($C$6:$C$300=$C233),$H$6:$H$300)/SUMPRODUCT(--($L$6:$L$300&lt;&gt;1),--($C$6:$C$300=$C233),$E$6:$E$300)</f>
        <v>830.76761000731028</v>
      </c>
      <c r="N233" s="1" cm="1">
        <f t="array" ref="N233">SUMPRODUCT(--($L$6:$L$300&lt;&gt;1),--($C$6:$C$300=$C233))</f>
        <v>30</v>
      </c>
      <c r="O233" s="3">
        <f t="shared" si="29"/>
        <v>2558399.1381813767</v>
      </c>
      <c r="P233" s="2" cm="1">
        <f t="array" ref="P233">SQRT(SUMPRODUCT(--($L$6:$L$300&lt;&gt;1),--($C$6:$C$300=$C233),$E$6:$E$300,$O$6:$O$300)/((N233-1)*SUMPRODUCT(--($L$6:$L$300&lt;&gt;1),--($C$6:$C$300=$C233),$E$6:$E$300)/N233))</f>
        <v>674.70305904956047</v>
      </c>
      <c r="Q233" s="2">
        <f t="shared" si="23"/>
        <v>-33.899151595384978</v>
      </c>
      <c r="R233" s="2">
        <f t="shared" si="23"/>
        <v>1695.4343716100057</v>
      </c>
      <c r="S233" s="2">
        <f t="shared" si="30"/>
        <v>1695.4343716100057</v>
      </c>
    </row>
    <row r="234" spans="2:19" x14ac:dyDescent="0.35">
      <c r="B234">
        <v>279</v>
      </c>
      <c r="C234" s="17">
        <v>9</v>
      </c>
      <c r="D234" s="22" t="s">
        <v>251</v>
      </c>
      <c r="E234" s="90">
        <f>INDEX('Revised 2019 Lockdown'!H$5:H$257,MATCH(B234,'Revised 2019 Lockdown'!B$5:B$257,0))</f>
        <v>281.14056938192209</v>
      </c>
      <c r="F234" s="7">
        <f>INDEX('Revised 2019 Lockdown'!E$5:E$257,MATCH(B234,'Revised 2019 Lockdown'!B$5:B$257,0))</f>
        <v>185521.99</v>
      </c>
      <c r="G234" s="7">
        <f>INDEX('Revised 2019 Lockdown'!F$5:F$257,MATCH(B234,'Revised 2019 Lockdown'!B$5:B$257,0))</f>
        <v>796</v>
      </c>
      <c r="H234" s="7">
        <f t="shared" si="27"/>
        <v>184725.99</v>
      </c>
      <c r="I234" s="6">
        <f t="shared" si="24"/>
        <v>657.05917294723326</v>
      </c>
      <c r="J234" s="6">
        <f t="shared" si="28"/>
        <v>657.05917294723326</v>
      </c>
      <c r="K234" s="5">
        <f t="shared" si="25"/>
        <v>184725.99</v>
      </c>
      <c r="L234" s="4">
        <f t="shared" si="26"/>
        <v>0</v>
      </c>
      <c r="M234" s="2" cm="1">
        <f t="array" ref="M234">SUMPRODUCT(--($L$6:$L$300&lt;&gt;1),--($C$6:$C$300=$C234),$H$6:$H$300)/SUMPRODUCT(--($L$6:$L$300&lt;&gt;1),--($C$6:$C$300=$C234),$E$6:$E$300)</f>
        <v>830.76761000731028</v>
      </c>
      <c r="N234" s="1" cm="1">
        <f t="array" ref="N234">SUMPRODUCT(--($L$6:$L$300&lt;&gt;1),--($C$6:$C$300=$C234))</f>
        <v>30</v>
      </c>
      <c r="O234" s="3">
        <f t="shared" si="29"/>
        <v>30174.621105854738</v>
      </c>
      <c r="P234" s="2" cm="1">
        <f t="array" ref="P234">SQRT(SUMPRODUCT(--($L$6:$L$300&lt;&gt;1),--($C$6:$C$300=$C234),$E$6:$E$300,$O$6:$O$300)/((N234-1)*SUMPRODUCT(--($L$6:$L$300&lt;&gt;1),--($C$6:$C$300=$C234),$E$6:$E$300)/N234))</f>
        <v>674.70305904956047</v>
      </c>
      <c r="Q234" s="2">
        <f t="shared" si="23"/>
        <v>-33.899151595384978</v>
      </c>
      <c r="R234" s="2">
        <f t="shared" si="23"/>
        <v>1695.4343716100057</v>
      </c>
      <c r="S234" s="2">
        <f t="shared" si="30"/>
        <v>657.05917294723326</v>
      </c>
    </row>
    <row r="235" spans="2:19" x14ac:dyDescent="0.35">
      <c r="B235">
        <v>331</v>
      </c>
      <c r="C235" s="17">
        <v>9</v>
      </c>
      <c r="D235" s="22" t="s">
        <v>252</v>
      </c>
      <c r="E235" s="90">
        <f>INDEX('Revised 2019 Lockdown'!H$5:H$257,MATCH(B235,'Revised 2019 Lockdown'!B$5:B$257,0))</f>
        <v>442.75839063951412</v>
      </c>
      <c r="F235" s="7">
        <f>INDEX('Revised 2019 Lockdown'!E$5:E$257,MATCH(B235,'Revised 2019 Lockdown'!B$5:B$257,0))</f>
        <v>160212.76999999999</v>
      </c>
      <c r="G235" s="7">
        <f>INDEX('Revised 2019 Lockdown'!F$5:F$257,MATCH(B235,'Revised 2019 Lockdown'!B$5:B$257,0))</f>
        <v>0</v>
      </c>
      <c r="H235" s="7">
        <f t="shared" si="27"/>
        <v>160212.76999999999</v>
      </c>
      <c r="I235" s="6">
        <f t="shared" si="24"/>
        <v>361.85145981895653</v>
      </c>
      <c r="J235" s="6">
        <f t="shared" si="28"/>
        <v>361.85145981895653</v>
      </c>
      <c r="K235" s="5">
        <f t="shared" si="25"/>
        <v>160212.76999999999</v>
      </c>
      <c r="L235" s="4">
        <f t="shared" si="26"/>
        <v>0</v>
      </c>
      <c r="M235" s="2" cm="1">
        <f t="array" ref="M235">SUMPRODUCT(--($L$6:$L$300&lt;&gt;1),--($C$6:$C$300=$C235),$H$6:$H$300)/SUMPRODUCT(--($L$6:$L$300&lt;&gt;1),--($C$6:$C$300=$C235),$E$6:$E$300)</f>
        <v>830.76761000731028</v>
      </c>
      <c r="N235" s="1" cm="1">
        <f t="array" ref="N235">SUMPRODUCT(--($L$6:$L$300&lt;&gt;1),--($C$6:$C$300=$C235))</f>
        <v>30</v>
      </c>
      <c r="O235" s="3">
        <f t="shared" si="29"/>
        <v>219882.35590746673</v>
      </c>
      <c r="P235" s="2" cm="1">
        <f t="array" ref="P235">SQRT(SUMPRODUCT(--($L$6:$L$300&lt;&gt;1),--($C$6:$C$300=$C235),$E$6:$E$300,$O$6:$O$300)/((N235-1)*SUMPRODUCT(--($L$6:$L$300&lt;&gt;1),--($C$6:$C$300=$C235),$E$6:$E$300)/N235))</f>
        <v>674.70305904956047</v>
      </c>
      <c r="Q235" s="2">
        <f t="shared" si="23"/>
        <v>-33.899151595384978</v>
      </c>
      <c r="R235" s="2">
        <f t="shared" si="23"/>
        <v>1695.4343716100057</v>
      </c>
      <c r="S235" s="2">
        <f t="shared" si="30"/>
        <v>361.85145981895653</v>
      </c>
    </row>
    <row r="236" spans="2:19" x14ac:dyDescent="0.35">
      <c r="B236">
        <v>369</v>
      </c>
      <c r="C236" s="17">
        <v>9</v>
      </c>
      <c r="D236" s="22" t="s">
        <v>253</v>
      </c>
      <c r="E236" s="90">
        <f>INDEX('Revised 2019 Lockdown'!H$5:H$257,MATCH(B236,'Revised 2019 Lockdown'!B$5:B$257,0))</f>
        <v>372.33</v>
      </c>
      <c r="F236" s="7">
        <f>INDEX('Revised 2019 Lockdown'!E$5:E$257,MATCH(B236,'Revised 2019 Lockdown'!B$5:B$257,0))</f>
        <v>439717.41</v>
      </c>
      <c r="G236" s="7">
        <f>INDEX('Revised 2019 Lockdown'!F$5:F$257,MATCH(B236,'Revised 2019 Lockdown'!B$5:B$257,0))</f>
        <v>0</v>
      </c>
      <c r="H236" s="7">
        <f t="shared" si="27"/>
        <v>439717.41</v>
      </c>
      <c r="I236" s="6">
        <f t="shared" si="24"/>
        <v>1180.9883973894125</v>
      </c>
      <c r="J236" s="6">
        <f t="shared" si="28"/>
        <v>1180.9883973894125</v>
      </c>
      <c r="K236" s="5">
        <f t="shared" si="25"/>
        <v>439717.40999999992</v>
      </c>
      <c r="L236" s="4">
        <f t="shared" si="26"/>
        <v>0</v>
      </c>
      <c r="M236" s="2" cm="1">
        <f t="array" ref="M236">SUMPRODUCT(--($L$6:$L$300&lt;&gt;1),--($C$6:$C$300=$C236),$H$6:$H$300)/SUMPRODUCT(--($L$6:$L$300&lt;&gt;1),--($C$6:$C$300=$C236),$E$6:$E$300)</f>
        <v>830.76761000731028</v>
      </c>
      <c r="N236" s="1" cm="1">
        <f t="array" ref="N236">SUMPRODUCT(--($L$6:$L$300&lt;&gt;1),--($C$6:$C$300=$C236))</f>
        <v>30</v>
      </c>
      <c r="O236" s="3">
        <f t="shared" si="29"/>
        <v>122654.59991453966</v>
      </c>
      <c r="P236" s="2" cm="1">
        <f t="array" ref="P236">SQRT(SUMPRODUCT(--($L$6:$L$300&lt;&gt;1),--($C$6:$C$300=$C236),$E$6:$E$300,$O$6:$O$300)/((N236-1)*SUMPRODUCT(--($L$6:$L$300&lt;&gt;1),--($C$6:$C$300=$C236),$E$6:$E$300)/N236))</f>
        <v>674.70305904956047</v>
      </c>
      <c r="Q236" s="2">
        <f t="shared" si="23"/>
        <v>-33.899151595384978</v>
      </c>
      <c r="R236" s="2">
        <f t="shared" si="23"/>
        <v>1695.4343716100057</v>
      </c>
      <c r="S236" s="2">
        <f t="shared" si="30"/>
        <v>1180.9883973894125</v>
      </c>
    </row>
    <row r="237" spans="2:19" x14ac:dyDescent="0.35">
      <c r="B237">
        <v>416</v>
      </c>
      <c r="C237" s="17">
        <v>9</v>
      </c>
      <c r="D237" s="22" t="s">
        <v>254</v>
      </c>
      <c r="E237" s="90">
        <f>INDEX('Revised 2019 Lockdown'!H$5:H$257,MATCH(B237,'Revised 2019 Lockdown'!B$5:B$257,0))</f>
        <v>63.282402387757521</v>
      </c>
      <c r="F237" s="7">
        <f>INDEX('Revised 2019 Lockdown'!E$5:E$257,MATCH(B237,'Revised 2019 Lockdown'!B$5:B$257,0))</f>
        <v>63073.1</v>
      </c>
      <c r="G237" s="7">
        <f>INDEX('Revised 2019 Lockdown'!F$5:F$257,MATCH(B237,'Revised 2019 Lockdown'!B$5:B$257,0))</f>
        <v>67.5</v>
      </c>
      <c r="H237" s="7">
        <f t="shared" si="27"/>
        <v>63005.599999999999</v>
      </c>
      <c r="I237" s="6">
        <f t="shared" si="24"/>
        <v>995.62591846527187</v>
      </c>
      <c r="J237" s="6">
        <f t="shared" si="28"/>
        <v>995.62591846527187</v>
      </c>
      <c r="K237" s="5">
        <f t="shared" si="25"/>
        <v>63005.599999999999</v>
      </c>
      <c r="L237" s="4">
        <f t="shared" si="26"/>
        <v>0</v>
      </c>
      <c r="M237" s="2" cm="1">
        <f t="array" ref="M237">SUMPRODUCT(--($L$6:$L$300&lt;&gt;1),--($C$6:$C$300=$C237),$H$6:$H$300)/SUMPRODUCT(--($L$6:$L$300&lt;&gt;1),--($C$6:$C$300=$C237),$E$6:$E$300)</f>
        <v>830.76761000731028</v>
      </c>
      <c r="N237" s="1" cm="1">
        <f t="array" ref="N237">SUMPRODUCT(--($L$6:$L$300&lt;&gt;1),--($C$6:$C$300=$C237))</f>
        <v>30</v>
      </c>
      <c r="O237" s="3">
        <f t="shared" si="29"/>
        <v>27178.261867620407</v>
      </c>
      <c r="P237" s="2" cm="1">
        <f t="array" ref="P237">SQRT(SUMPRODUCT(--($L$6:$L$300&lt;&gt;1),--($C$6:$C$300=$C237),$E$6:$E$300,$O$6:$O$300)/((N237-1)*SUMPRODUCT(--($L$6:$L$300&lt;&gt;1),--($C$6:$C$300=$C237),$E$6:$E$300)/N237))</f>
        <v>674.70305904956047</v>
      </c>
      <c r="Q237" s="2">
        <f t="shared" si="23"/>
        <v>-33.899151595384978</v>
      </c>
      <c r="R237" s="2">
        <f t="shared" si="23"/>
        <v>1695.4343716100057</v>
      </c>
      <c r="S237" s="2">
        <f t="shared" si="30"/>
        <v>995.62591846527187</v>
      </c>
    </row>
    <row r="238" spans="2:19" x14ac:dyDescent="0.35">
      <c r="B238">
        <v>508</v>
      </c>
      <c r="C238" s="17">
        <v>9</v>
      </c>
      <c r="D238" s="22" t="s">
        <v>256</v>
      </c>
      <c r="E238" s="90">
        <f>INDEX('Revised 2019 Lockdown'!H$5:H$257,MATCH(B238,'Revised 2019 Lockdown'!B$5:B$257,0))</f>
        <v>83.552342128140978</v>
      </c>
      <c r="F238" s="7">
        <f>INDEX('Revised 2019 Lockdown'!E$5:E$257,MATCH(B238,'Revised 2019 Lockdown'!B$5:B$257,0))</f>
        <v>78621.899999999994</v>
      </c>
      <c r="G238" s="7">
        <f>INDEX('Revised 2019 Lockdown'!F$5:F$257,MATCH(B238,'Revised 2019 Lockdown'!B$5:B$257,0))</f>
        <v>0</v>
      </c>
      <c r="H238" s="7">
        <f t="shared" si="27"/>
        <v>78621.899999999994</v>
      </c>
      <c r="I238" s="6">
        <f t="shared" si="24"/>
        <v>940.98977954945462</v>
      </c>
      <c r="J238" s="6">
        <f t="shared" si="28"/>
        <v>940.98977954945462</v>
      </c>
      <c r="K238" s="5">
        <f t="shared" si="25"/>
        <v>78621.899999999994</v>
      </c>
      <c r="L238" s="4">
        <f t="shared" si="26"/>
        <v>0</v>
      </c>
      <c r="M238" s="2" cm="1">
        <f t="array" ref="M238">SUMPRODUCT(--($L$6:$L$300&lt;&gt;1),--($C$6:$C$300=$C238),$H$6:$H$300)/SUMPRODUCT(--($L$6:$L$300&lt;&gt;1),--($C$6:$C$300=$C238),$E$6:$E$300)</f>
        <v>830.76761000731028</v>
      </c>
      <c r="N238" s="1" cm="1">
        <f t="array" ref="N238">SUMPRODUCT(--($L$6:$L$300&lt;&gt;1),--($C$6:$C$300=$C238))</f>
        <v>30</v>
      </c>
      <c r="O238" s="3">
        <f t="shared" si="29"/>
        <v>12148.926658577213</v>
      </c>
      <c r="P238" s="2" cm="1">
        <f t="array" ref="P238">SQRT(SUMPRODUCT(--($L$6:$L$300&lt;&gt;1),--($C$6:$C$300=$C238),$E$6:$E$300,$O$6:$O$300)/((N238-1)*SUMPRODUCT(--($L$6:$L$300&lt;&gt;1),--($C$6:$C$300=$C238),$E$6:$E$300)/N238))</f>
        <v>674.70305904956047</v>
      </c>
      <c r="Q238" s="2">
        <f t="shared" si="23"/>
        <v>-33.899151595384978</v>
      </c>
      <c r="R238" s="2">
        <f t="shared" si="23"/>
        <v>1695.4343716100057</v>
      </c>
      <c r="S238" s="2">
        <f t="shared" si="30"/>
        <v>940.98977954945462</v>
      </c>
    </row>
    <row r="239" spans="2:19" x14ac:dyDescent="0.35">
      <c r="B239">
        <v>512</v>
      </c>
      <c r="C239" s="17">
        <v>9</v>
      </c>
      <c r="D239" s="22" t="s">
        <v>257</v>
      </c>
      <c r="E239" s="90">
        <f>INDEX('Revised 2019 Lockdown'!H$5:H$257,MATCH(B239,'Revised 2019 Lockdown'!B$5:B$257,0))</f>
        <v>208.64932368107657</v>
      </c>
      <c r="F239" s="7">
        <f>INDEX('Revised 2019 Lockdown'!E$5:E$257,MATCH(B239,'Revised 2019 Lockdown'!B$5:B$257,0))</f>
        <v>275963.07</v>
      </c>
      <c r="G239" s="7">
        <f>INDEX('Revised 2019 Lockdown'!F$5:F$257,MATCH(B239,'Revised 2019 Lockdown'!B$5:B$257,0))</f>
        <v>3670.08</v>
      </c>
      <c r="H239" s="7">
        <f t="shared" si="27"/>
        <v>272292.99</v>
      </c>
      <c r="I239" s="6">
        <f t="shared" si="24"/>
        <v>1305.026947588882</v>
      </c>
      <c r="J239" s="6">
        <f t="shared" si="28"/>
        <v>1305.026947588882</v>
      </c>
      <c r="K239" s="5">
        <f t="shared" si="25"/>
        <v>272292.99</v>
      </c>
      <c r="L239" s="4">
        <f t="shared" si="26"/>
        <v>0</v>
      </c>
      <c r="M239" s="2" cm="1">
        <f t="array" ref="M239">SUMPRODUCT(--($L$6:$L$300&lt;&gt;1),--($C$6:$C$300=$C239),$H$6:$H$300)/SUMPRODUCT(--($L$6:$L$300&lt;&gt;1),--($C$6:$C$300=$C239),$E$6:$E$300)</f>
        <v>830.76761000731028</v>
      </c>
      <c r="N239" s="1" cm="1">
        <f t="array" ref="N239">SUMPRODUCT(--($L$6:$L$300&lt;&gt;1),--($C$6:$C$300=$C239))</f>
        <v>30</v>
      </c>
      <c r="O239" s="3">
        <f t="shared" si="29"/>
        <v>224921.91928331117</v>
      </c>
      <c r="P239" s="2" cm="1">
        <f t="array" ref="P239">SQRT(SUMPRODUCT(--($L$6:$L$300&lt;&gt;1),--($C$6:$C$300=$C239),$E$6:$E$300,$O$6:$O$300)/((N239-1)*SUMPRODUCT(--($L$6:$L$300&lt;&gt;1),--($C$6:$C$300=$C239),$E$6:$E$300)/N239))</f>
        <v>674.70305904956047</v>
      </c>
      <c r="Q239" s="2">
        <f t="shared" si="23"/>
        <v>-33.899151595384978</v>
      </c>
      <c r="R239" s="2">
        <f t="shared" si="23"/>
        <v>1695.4343716100057</v>
      </c>
      <c r="S239" s="2">
        <f t="shared" si="30"/>
        <v>1305.026947588882</v>
      </c>
    </row>
    <row r="240" spans="2:19" x14ac:dyDescent="0.35">
      <c r="B240">
        <v>516</v>
      </c>
      <c r="C240" s="17">
        <v>9</v>
      </c>
      <c r="D240" s="22" t="s">
        <v>258</v>
      </c>
      <c r="E240" s="90">
        <f>INDEX('Revised 2019 Lockdown'!H$5:H$257,MATCH(B240,'Revised 2019 Lockdown'!B$5:B$257,0))</f>
        <v>310.85525259616531</v>
      </c>
      <c r="F240" s="7">
        <f>INDEX('Revised 2019 Lockdown'!E$5:E$257,MATCH(B240,'Revised 2019 Lockdown'!B$5:B$257,0))</f>
        <v>161888.84</v>
      </c>
      <c r="G240" s="7">
        <f>INDEX('Revised 2019 Lockdown'!F$5:F$257,MATCH(B240,'Revised 2019 Lockdown'!B$5:B$257,0))</f>
        <v>144.16</v>
      </c>
      <c r="H240" s="7">
        <f t="shared" si="27"/>
        <v>161744.68</v>
      </c>
      <c r="I240" s="6">
        <f t="shared" si="24"/>
        <v>520.32152794318029</v>
      </c>
      <c r="J240" s="6">
        <f t="shared" si="28"/>
        <v>520.32152794318029</v>
      </c>
      <c r="K240" s="5">
        <f t="shared" si="25"/>
        <v>161744.68</v>
      </c>
      <c r="L240" s="4">
        <f t="shared" si="26"/>
        <v>0</v>
      </c>
      <c r="M240" s="2" cm="1">
        <f t="array" ref="M240">SUMPRODUCT(--($L$6:$L$300&lt;&gt;1),--($C$6:$C$300=$C240),$H$6:$H$300)/SUMPRODUCT(--($L$6:$L$300&lt;&gt;1),--($C$6:$C$300=$C240),$E$6:$E$300)</f>
        <v>830.76761000731028</v>
      </c>
      <c r="N240" s="1" cm="1">
        <f t="array" ref="N240">SUMPRODUCT(--($L$6:$L$300&lt;&gt;1),--($C$6:$C$300=$C240))</f>
        <v>30</v>
      </c>
      <c r="O240" s="3">
        <f t="shared" si="29"/>
        <v>96376.769868968535</v>
      </c>
      <c r="P240" s="2" cm="1">
        <f t="array" ref="P240">SQRT(SUMPRODUCT(--($L$6:$L$300&lt;&gt;1),--($C$6:$C$300=$C240),$E$6:$E$300,$O$6:$O$300)/((N240-1)*SUMPRODUCT(--($L$6:$L$300&lt;&gt;1),--($C$6:$C$300=$C240),$E$6:$E$300)/N240))</f>
        <v>674.70305904956047</v>
      </c>
      <c r="Q240" s="2">
        <f t="shared" si="23"/>
        <v>-33.899151595384978</v>
      </c>
      <c r="R240" s="2">
        <f t="shared" si="23"/>
        <v>1695.4343716100057</v>
      </c>
      <c r="S240" s="2">
        <f t="shared" si="30"/>
        <v>520.32152794318029</v>
      </c>
    </row>
    <row r="241" spans="2:19" x14ac:dyDescent="0.35">
      <c r="B241">
        <v>521</v>
      </c>
      <c r="C241" s="17">
        <v>9</v>
      </c>
      <c r="D241" s="22" t="s">
        <v>259</v>
      </c>
      <c r="E241" s="90">
        <f>INDEX('Revised 2019 Lockdown'!H$5:H$257,MATCH(B241,'Revised 2019 Lockdown'!B$5:B$257,0))</f>
        <v>125.15814085387638</v>
      </c>
      <c r="F241" s="7">
        <f>INDEX('Revised 2019 Lockdown'!E$5:E$257,MATCH(B241,'Revised 2019 Lockdown'!B$5:B$257,0))</f>
        <v>379162.42</v>
      </c>
      <c r="G241" s="7">
        <f>INDEX('Revised 2019 Lockdown'!F$5:F$257,MATCH(B241,'Revised 2019 Lockdown'!B$5:B$257,0))</f>
        <v>79.650000000000006</v>
      </c>
      <c r="H241" s="7">
        <f t="shared" si="27"/>
        <v>379082.76999999996</v>
      </c>
      <c r="I241" s="6">
        <f t="shared" si="24"/>
        <v>3028.8303055139149</v>
      </c>
      <c r="J241" s="6">
        <f t="shared" si="28"/>
        <v>1695.4343716100057</v>
      </c>
      <c r="K241" s="5">
        <f t="shared" si="25"/>
        <v>212197.41389046848</v>
      </c>
      <c r="L241" s="4">
        <f t="shared" si="26"/>
        <v>0</v>
      </c>
      <c r="M241" s="2" cm="1">
        <f t="array" ref="M241">SUMPRODUCT(--($L$6:$L$300&lt;&gt;1),--($C$6:$C$300=$C241),$H$6:$H$300)/SUMPRODUCT(--($L$6:$L$300&lt;&gt;1),--($C$6:$C$300=$C241),$E$6:$E$300)</f>
        <v>830.76761000731028</v>
      </c>
      <c r="N241" s="1" cm="1">
        <f t="array" ref="N241">SUMPRODUCT(--($L$6:$L$300&lt;&gt;1),--($C$6:$C$300=$C241))</f>
        <v>30</v>
      </c>
      <c r="O241" s="3">
        <f t="shared" si="29"/>
        <v>4831479.6133777602</v>
      </c>
      <c r="P241" s="2" cm="1">
        <f t="array" ref="P241">SQRT(SUMPRODUCT(--($L$6:$L$300&lt;&gt;1),--($C$6:$C$300=$C241),$E$6:$E$300,$O$6:$O$300)/((N241-1)*SUMPRODUCT(--($L$6:$L$300&lt;&gt;1),--($C$6:$C$300=$C241),$E$6:$E$300)/N241))</f>
        <v>674.70305904956047</v>
      </c>
      <c r="Q241" s="2">
        <f t="shared" si="23"/>
        <v>-33.899151595384978</v>
      </c>
      <c r="R241" s="2">
        <f t="shared" si="23"/>
        <v>1695.4343716100057</v>
      </c>
      <c r="S241" s="2">
        <f t="shared" si="30"/>
        <v>1695.4343716100057</v>
      </c>
    </row>
    <row r="242" spans="2:19" x14ac:dyDescent="0.35">
      <c r="B242">
        <v>522</v>
      </c>
      <c r="C242" s="17">
        <v>9</v>
      </c>
      <c r="D242" s="22" t="s">
        <v>260</v>
      </c>
      <c r="E242" s="90">
        <f>INDEX('Revised 2019 Lockdown'!H$5:H$257,MATCH(B242,'Revised 2019 Lockdown'!B$5:B$257,0))</f>
        <v>76.169540800285816</v>
      </c>
      <c r="F242" s="7">
        <f>INDEX('Revised 2019 Lockdown'!E$5:E$257,MATCH(B242,'Revised 2019 Lockdown'!B$5:B$257,0))</f>
        <v>123348.86</v>
      </c>
      <c r="G242" s="7">
        <f>INDEX('Revised 2019 Lockdown'!F$5:F$257,MATCH(B242,'Revised 2019 Lockdown'!B$5:B$257,0))</f>
        <v>84</v>
      </c>
      <c r="H242" s="7">
        <f t="shared" si="27"/>
        <v>123264.86</v>
      </c>
      <c r="I242" s="6">
        <f t="shared" si="24"/>
        <v>1618.2959580023812</v>
      </c>
      <c r="J242" s="6">
        <f t="shared" si="28"/>
        <v>1618.2959580023812</v>
      </c>
      <c r="K242" s="5">
        <f t="shared" si="25"/>
        <v>123264.86</v>
      </c>
      <c r="L242" s="4">
        <f t="shared" si="26"/>
        <v>0</v>
      </c>
      <c r="M242" s="2" cm="1">
        <f t="array" ref="M242">SUMPRODUCT(--($L$6:$L$300&lt;&gt;1),--($C$6:$C$300=$C242),$H$6:$H$300)/SUMPRODUCT(--($L$6:$L$300&lt;&gt;1),--($C$6:$C$300=$C242),$E$6:$E$300)</f>
        <v>830.76761000731028</v>
      </c>
      <c r="N242" s="1" cm="1">
        <f t="array" ref="N242">SUMPRODUCT(--($L$6:$L$300&lt;&gt;1),--($C$6:$C$300=$C242))</f>
        <v>30</v>
      </c>
      <c r="O242" s="3">
        <f t="shared" si="29"/>
        <v>620200.89889584552</v>
      </c>
      <c r="P242" s="2" cm="1">
        <f t="array" ref="P242">SQRT(SUMPRODUCT(--($L$6:$L$300&lt;&gt;1),--($C$6:$C$300=$C242),$E$6:$E$300,$O$6:$O$300)/((N242-1)*SUMPRODUCT(--($L$6:$L$300&lt;&gt;1),--($C$6:$C$300=$C242),$E$6:$E$300)/N242))</f>
        <v>674.70305904956047</v>
      </c>
      <c r="Q242" s="2">
        <f t="shared" si="23"/>
        <v>-33.899151595384978</v>
      </c>
      <c r="R242" s="2">
        <f t="shared" si="23"/>
        <v>1695.4343716100057</v>
      </c>
      <c r="S242" s="2">
        <f t="shared" si="30"/>
        <v>1618.2959580023812</v>
      </c>
    </row>
    <row r="243" spans="2:19" x14ac:dyDescent="0.35">
      <c r="B243">
        <v>523</v>
      </c>
      <c r="C243" s="17">
        <v>9</v>
      </c>
      <c r="D243" s="22" t="s">
        <v>261</v>
      </c>
      <c r="E243" s="90">
        <f>INDEX('Revised 2019 Lockdown'!H$5:H$257,MATCH(B243,'Revised 2019 Lockdown'!B$5:B$257,0))</f>
        <v>698.36058335715143</v>
      </c>
      <c r="F243" s="7">
        <f>INDEX('Revised 2019 Lockdown'!E$5:E$257,MATCH(B243,'Revised 2019 Lockdown'!B$5:B$257,0))</f>
        <v>315458.90999999997</v>
      </c>
      <c r="G243" s="7">
        <f>INDEX('Revised 2019 Lockdown'!F$5:F$257,MATCH(B243,'Revised 2019 Lockdown'!B$5:B$257,0))</f>
        <v>856.49</v>
      </c>
      <c r="H243" s="7">
        <f t="shared" si="27"/>
        <v>314602.42</v>
      </c>
      <c r="I243" s="6">
        <f t="shared" si="24"/>
        <v>450.48708002339799</v>
      </c>
      <c r="J243" s="6">
        <f t="shared" si="28"/>
        <v>450.48708002339799</v>
      </c>
      <c r="K243" s="5">
        <f t="shared" si="25"/>
        <v>314602.42</v>
      </c>
      <c r="L243" s="4">
        <f t="shared" si="26"/>
        <v>0</v>
      </c>
      <c r="M243" s="2" cm="1">
        <f t="array" ref="M243">SUMPRODUCT(--($L$6:$L$300&lt;&gt;1),--($C$6:$C$300=$C243),$H$6:$H$300)/SUMPRODUCT(--($L$6:$L$300&lt;&gt;1),--($C$6:$C$300=$C243),$E$6:$E$300)</f>
        <v>830.76761000731028</v>
      </c>
      <c r="N243" s="1" cm="1">
        <f t="array" ref="N243">SUMPRODUCT(--($L$6:$L$300&lt;&gt;1),--($C$6:$C$300=$C243))</f>
        <v>30</v>
      </c>
      <c r="O243" s="3">
        <f t="shared" si="29"/>
        <v>144613.28148484521</v>
      </c>
      <c r="P243" s="2" cm="1">
        <f t="array" ref="P243">SQRT(SUMPRODUCT(--($L$6:$L$300&lt;&gt;1),--($C$6:$C$300=$C243),$E$6:$E$300,$O$6:$O$300)/((N243-1)*SUMPRODUCT(--($L$6:$L$300&lt;&gt;1),--($C$6:$C$300=$C243),$E$6:$E$300)/N243))</f>
        <v>674.70305904956047</v>
      </c>
      <c r="Q243" s="2">
        <f t="shared" ref="Q243:R258" si="31">NORMINV(Q$4,$M243,$P243)</f>
        <v>-33.899151595384978</v>
      </c>
      <c r="R243" s="2">
        <f t="shared" si="31"/>
        <v>1695.4343716100057</v>
      </c>
      <c r="S243" s="2">
        <f t="shared" si="30"/>
        <v>450.48708002339799</v>
      </c>
    </row>
    <row r="244" spans="2:19" x14ac:dyDescent="0.35">
      <c r="B244">
        <v>527</v>
      </c>
      <c r="C244" s="17">
        <v>9</v>
      </c>
      <c r="D244" s="22" t="s">
        <v>262</v>
      </c>
      <c r="E244" s="90">
        <f>INDEX('Revised 2019 Lockdown'!H$5:H$257,MATCH(B244,'Revised 2019 Lockdown'!B$5:B$257,0))</f>
        <v>153.26520815767537</v>
      </c>
      <c r="F244" s="7">
        <f>INDEX('Revised 2019 Lockdown'!E$5:E$257,MATCH(B244,'Revised 2019 Lockdown'!B$5:B$257,0))</f>
        <v>133668.4</v>
      </c>
      <c r="G244" s="7">
        <f>INDEX('Revised 2019 Lockdown'!F$5:F$257,MATCH(B244,'Revised 2019 Lockdown'!B$5:B$257,0))</f>
        <v>150</v>
      </c>
      <c r="H244" s="7">
        <f t="shared" si="27"/>
        <v>133518.39999999999</v>
      </c>
      <c r="I244" s="6">
        <f t="shared" si="24"/>
        <v>871.15922527335522</v>
      </c>
      <c r="J244" s="6">
        <f t="shared" si="28"/>
        <v>871.15922527335522</v>
      </c>
      <c r="K244" s="5">
        <f t="shared" si="25"/>
        <v>133518.39999999999</v>
      </c>
      <c r="L244" s="4">
        <f t="shared" si="26"/>
        <v>0</v>
      </c>
      <c r="M244" s="2" cm="1">
        <f t="array" ref="M244">SUMPRODUCT(--($L$6:$L$300&lt;&gt;1),--($C$6:$C$300=$C244),$H$6:$H$300)/SUMPRODUCT(--($L$6:$L$300&lt;&gt;1),--($C$6:$C$300=$C244),$E$6:$E$300)</f>
        <v>830.76761000731028</v>
      </c>
      <c r="N244" s="1" cm="1">
        <f t="array" ref="N244">SUMPRODUCT(--($L$6:$L$300&lt;&gt;1),--($C$6:$C$300=$C244))</f>
        <v>30</v>
      </c>
      <c r="O244" s="3">
        <f t="shared" si="29"/>
        <v>1631.4825838001943</v>
      </c>
      <c r="P244" s="2" cm="1">
        <f t="array" ref="P244">SQRT(SUMPRODUCT(--($L$6:$L$300&lt;&gt;1),--($C$6:$C$300=$C244),$E$6:$E$300,$O$6:$O$300)/((N244-1)*SUMPRODUCT(--($L$6:$L$300&lt;&gt;1),--($C$6:$C$300=$C244),$E$6:$E$300)/N244))</f>
        <v>674.70305904956047</v>
      </c>
      <c r="Q244" s="2">
        <f t="shared" si="31"/>
        <v>-33.899151595384978</v>
      </c>
      <c r="R244" s="2">
        <f t="shared" si="31"/>
        <v>1695.4343716100057</v>
      </c>
      <c r="S244" s="2">
        <f t="shared" si="30"/>
        <v>871.15922527335522</v>
      </c>
    </row>
    <row r="245" spans="2:19" x14ac:dyDescent="0.35">
      <c r="B245">
        <v>543</v>
      </c>
      <c r="C245" s="17">
        <v>9</v>
      </c>
      <c r="D245" s="22" t="s">
        <v>263</v>
      </c>
      <c r="E245" s="90">
        <f>INDEX('Revised 2019 Lockdown'!H$5:H$257,MATCH(B245,'Revised 2019 Lockdown'!B$5:B$257,0))</f>
        <v>79.576987566988208</v>
      </c>
      <c r="F245" s="7">
        <f>INDEX('Revised 2019 Lockdown'!E$5:E$257,MATCH(B245,'Revised 2019 Lockdown'!B$5:B$257,0))</f>
        <v>46654.18</v>
      </c>
      <c r="G245" s="7">
        <f>INDEX('Revised 2019 Lockdown'!F$5:F$257,MATCH(B245,'Revised 2019 Lockdown'!B$5:B$257,0))</f>
        <v>0</v>
      </c>
      <c r="H245" s="7">
        <f t="shared" si="27"/>
        <v>46654.18</v>
      </c>
      <c r="I245" s="6">
        <f t="shared" si="24"/>
        <v>586.2772822447738</v>
      </c>
      <c r="J245" s="6">
        <f t="shared" si="28"/>
        <v>586.2772822447738</v>
      </c>
      <c r="K245" s="5">
        <f t="shared" si="25"/>
        <v>46654.18</v>
      </c>
      <c r="L245" s="4">
        <f t="shared" si="26"/>
        <v>0</v>
      </c>
      <c r="M245" s="2" cm="1">
        <f t="array" ref="M245">SUMPRODUCT(--($L$6:$L$300&lt;&gt;1),--($C$6:$C$300=$C245),$H$6:$H$300)/SUMPRODUCT(--($L$6:$L$300&lt;&gt;1),--($C$6:$C$300=$C245),$E$6:$E$300)</f>
        <v>830.76761000731028</v>
      </c>
      <c r="N245" s="1" cm="1">
        <f t="array" ref="N245">SUMPRODUCT(--($L$6:$L$300&lt;&gt;1),--($C$6:$C$300=$C245))</f>
        <v>30</v>
      </c>
      <c r="O245" s="3">
        <f t="shared" si="29"/>
        <v>59775.520369432517</v>
      </c>
      <c r="P245" s="2" cm="1">
        <f t="array" ref="P245">SQRT(SUMPRODUCT(--($L$6:$L$300&lt;&gt;1),--($C$6:$C$300=$C245),$E$6:$E$300,$O$6:$O$300)/((N245-1)*SUMPRODUCT(--($L$6:$L$300&lt;&gt;1),--($C$6:$C$300=$C245),$E$6:$E$300)/N245))</f>
        <v>674.70305904956047</v>
      </c>
      <c r="Q245" s="2">
        <f t="shared" si="31"/>
        <v>-33.899151595384978</v>
      </c>
      <c r="R245" s="2">
        <f t="shared" si="31"/>
        <v>1695.4343716100057</v>
      </c>
      <c r="S245" s="2">
        <f t="shared" si="30"/>
        <v>586.2772822447738</v>
      </c>
    </row>
    <row r="246" spans="2:19" x14ac:dyDescent="0.35">
      <c r="B246">
        <v>547</v>
      </c>
      <c r="C246" s="17">
        <v>9</v>
      </c>
      <c r="D246" s="22" t="s">
        <v>264</v>
      </c>
      <c r="E246" s="90">
        <f>INDEX('Revised 2019 Lockdown'!H$5:H$257,MATCH(B246,'Revised 2019 Lockdown'!B$5:B$257,0))</f>
        <v>219.72789419435514</v>
      </c>
      <c r="F246" s="7">
        <f>INDEX('Revised 2019 Lockdown'!E$5:E$257,MATCH(B246,'Revised 2019 Lockdown'!B$5:B$257,0))</f>
        <v>122138.68</v>
      </c>
      <c r="G246" s="7">
        <f>INDEX('Revised 2019 Lockdown'!F$5:F$257,MATCH(B246,'Revised 2019 Lockdown'!B$5:B$257,0))</f>
        <v>0</v>
      </c>
      <c r="H246" s="7">
        <f t="shared" si="27"/>
        <v>122138.68</v>
      </c>
      <c r="I246" s="6">
        <f t="shared" si="24"/>
        <v>555.8633347296593</v>
      </c>
      <c r="J246" s="6">
        <f t="shared" si="28"/>
        <v>555.8633347296593</v>
      </c>
      <c r="K246" s="5">
        <f t="shared" si="25"/>
        <v>122138.68</v>
      </c>
      <c r="L246" s="4">
        <f t="shared" si="26"/>
        <v>0</v>
      </c>
      <c r="M246" s="2" cm="1">
        <f t="array" ref="M246">SUMPRODUCT(--($L$6:$L$300&lt;&gt;1),--($C$6:$C$300=$C246),$H$6:$H$300)/SUMPRODUCT(--($L$6:$L$300&lt;&gt;1),--($C$6:$C$300=$C246),$E$6:$E$300)</f>
        <v>830.76761000731028</v>
      </c>
      <c r="N246" s="1" cm="1">
        <f t="array" ref="N246">SUMPRODUCT(--($L$6:$L$300&lt;&gt;1),--($C$6:$C$300=$C246))</f>
        <v>30</v>
      </c>
      <c r="O246" s="3">
        <f t="shared" si="29"/>
        <v>75572.360565930503</v>
      </c>
      <c r="P246" s="2" cm="1">
        <f t="array" ref="P246">SQRT(SUMPRODUCT(--($L$6:$L$300&lt;&gt;1),--($C$6:$C$300=$C246),$E$6:$E$300,$O$6:$O$300)/((N246-1)*SUMPRODUCT(--($L$6:$L$300&lt;&gt;1),--($C$6:$C$300=$C246),$E$6:$E$300)/N246))</f>
        <v>674.70305904956047</v>
      </c>
      <c r="Q246" s="2">
        <f t="shared" si="31"/>
        <v>-33.899151595384978</v>
      </c>
      <c r="R246" s="2">
        <f t="shared" si="31"/>
        <v>1695.4343716100057</v>
      </c>
      <c r="S246" s="2">
        <f t="shared" si="30"/>
        <v>555.8633347296593</v>
      </c>
    </row>
    <row r="247" spans="2:19" x14ac:dyDescent="0.35">
      <c r="B247">
        <v>550</v>
      </c>
      <c r="C247" s="17">
        <v>9</v>
      </c>
      <c r="D247" s="22" t="s">
        <v>166</v>
      </c>
      <c r="E247" s="90">
        <f>INDEX('Revised 2019 Lockdown'!H$5:H$257,MATCH(B247,'Revised 2019 Lockdown'!B$5:B$257,0))</f>
        <v>242.01</v>
      </c>
      <c r="F247" s="7">
        <f>INDEX('Revised 2019 Lockdown'!E$5:E$257,MATCH(B247,'Revised 2019 Lockdown'!B$5:B$257,0))</f>
        <v>463950.3</v>
      </c>
      <c r="G247" s="7">
        <f>INDEX('Revised 2019 Lockdown'!F$5:F$257,MATCH(B247,'Revised 2019 Lockdown'!B$5:B$257,0))</f>
        <v>1281.74</v>
      </c>
      <c r="H247" s="7">
        <f t="shared" si="27"/>
        <v>462668.56</v>
      </c>
      <c r="I247" s="6">
        <f t="shared" ref="I247:I254" si="32">H247/E247</f>
        <v>1911.7745547704642</v>
      </c>
      <c r="J247" s="6">
        <f t="shared" ref="J247:J254" si="33">IF(ISERROR(IF($J$2=1,MAX(MIN(I247,R247),Q247),MIN(I247,R247))),R247,IF($J$2=1,MAX(MIN(I247,R247),Q247),MIN(I247,R247)))</f>
        <v>1695.4343716100057</v>
      </c>
      <c r="K247" s="5">
        <f t="shared" ref="K247:K254" si="34">J247*E247</f>
        <v>410312.07227333746</v>
      </c>
      <c r="L247" s="4">
        <f t="shared" ref="L247:L254" si="35">IF(ISERROR(I247),1,0)</f>
        <v>0</v>
      </c>
      <c r="M247" s="2" cm="1">
        <f t="array" ref="M247">SUMPRODUCT(--($L$6:$L$300&lt;&gt;1),--($C$6:$C$300=$C247),$H$6:$H$300)/SUMPRODUCT(--($L$6:$L$300&lt;&gt;1),--($C$6:$C$300=$C247),$E$6:$E$300)</f>
        <v>830.76761000731028</v>
      </c>
      <c r="N247" s="1" cm="1">
        <f t="array" ref="N247">SUMPRODUCT(--($L$6:$L$300&lt;&gt;1),--($C$6:$C$300=$C247))</f>
        <v>30</v>
      </c>
      <c r="O247" s="3">
        <f t="shared" si="29"/>
        <v>1168576.0146261686</v>
      </c>
      <c r="P247" s="2" cm="1">
        <f t="array" ref="P247">SQRT(SUMPRODUCT(--($L$6:$L$300&lt;&gt;1),--($C$6:$C$300=$C247),$E$6:$E$300,$O$6:$O$300)/((N247-1)*SUMPRODUCT(--($L$6:$L$300&lt;&gt;1),--($C$6:$C$300=$C247),$E$6:$E$300)/N247))</f>
        <v>674.70305904956047</v>
      </c>
      <c r="Q247" s="2">
        <f t="shared" si="31"/>
        <v>-33.899151595384978</v>
      </c>
      <c r="R247" s="2">
        <f t="shared" si="31"/>
        <v>1695.4343716100057</v>
      </c>
      <c r="S247" s="2">
        <f t="shared" si="30"/>
        <v>1695.4343716100057</v>
      </c>
    </row>
    <row r="248" spans="2:19" x14ac:dyDescent="0.35">
      <c r="B248">
        <v>552</v>
      </c>
      <c r="C248" s="17">
        <v>9</v>
      </c>
      <c r="D248" s="22" t="s">
        <v>265</v>
      </c>
      <c r="E248" s="90">
        <f>INDEX('Revised 2019 Lockdown'!H$5:H$257,MATCH(B248,'Revised 2019 Lockdown'!B$5:B$257,0))</f>
        <v>122.80000000000001</v>
      </c>
      <c r="F248" s="7">
        <f>INDEX('Revised 2019 Lockdown'!E$5:E$257,MATCH(B248,'Revised 2019 Lockdown'!B$5:B$257,0))</f>
        <v>142363.06</v>
      </c>
      <c r="G248" s="7">
        <f>INDEX('Revised 2019 Lockdown'!F$5:F$257,MATCH(B248,'Revised 2019 Lockdown'!B$5:B$257,0))</f>
        <v>0</v>
      </c>
      <c r="H248" s="7">
        <f t="shared" si="27"/>
        <v>142363.06</v>
      </c>
      <c r="I248" s="6">
        <f t="shared" si="32"/>
        <v>1159.3083061889249</v>
      </c>
      <c r="J248" s="6">
        <f t="shared" si="33"/>
        <v>1159.3083061889249</v>
      </c>
      <c r="K248" s="5">
        <f t="shared" si="34"/>
        <v>142363.06</v>
      </c>
      <c r="L248" s="4">
        <f t="shared" si="35"/>
        <v>0</v>
      </c>
      <c r="M248" s="2" cm="1">
        <f t="array" ref="M248">SUMPRODUCT(--($L$6:$L$300&lt;&gt;1),--($C$6:$C$300=$C248),$H$6:$H$300)/SUMPRODUCT(--($L$6:$L$300&lt;&gt;1),--($C$6:$C$300=$C248),$E$6:$E$300)</f>
        <v>830.76761000731028</v>
      </c>
      <c r="N248" s="1" cm="1">
        <f t="array" ref="N248">SUMPRODUCT(--($L$6:$L$300&lt;&gt;1),--($C$6:$C$300=$C248))</f>
        <v>30</v>
      </c>
      <c r="O248" s="3">
        <f t="shared" si="29"/>
        <v>107938.98904750001</v>
      </c>
      <c r="P248" s="2" cm="1">
        <f t="array" ref="P248">SQRT(SUMPRODUCT(--($L$6:$L$300&lt;&gt;1),--($C$6:$C$300=$C248),$E$6:$E$300,$O$6:$O$300)/((N248-1)*SUMPRODUCT(--($L$6:$L$300&lt;&gt;1),--($C$6:$C$300=$C248),$E$6:$E$300)/N248))</f>
        <v>674.70305904956047</v>
      </c>
      <c r="Q248" s="2">
        <f t="shared" si="31"/>
        <v>-33.899151595384978</v>
      </c>
      <c r="R248" s="2">
        <f t="shared" si="31"/>
        <v>1695.4343716100057</v>
      </c>
      <c r="S248" s="2">
        <f t="shared" si="30"/>
        <v>1159.3083061889249</v>
      </c>
    </row>
    <row r="249" spans="2:19" x14ac:dyDescent="0.35">
      <c r="B249">
        <v>567</v>
      </c>
      <c r="C249" s="17">
        <v>9</v>
      </c>
      <c r="D249" s="22" t="s">
        <v>266</v>
      </c>
      <c r="E249" s="90">
        <f>INDEX('Revised 2019 Lockdown'!H$5:H$257,MATCH(B249,'Revised 2019 Lockdown'!B$5:B$257,0))</f>
        <v>359.29341894128856</v>
      </c>
      <c r="F249" s="7">
        <f>INDEX('Revised 2019 Lockdown'!E$5:E$257,MATCH(B249,'Revised 2019 Lockdown'!B$5:B$257,0))</f>
        <v>233157.95</v>
      </c>
      <c r="G249" s="7">
        <f>INDEX('Revised 2019 Lockdown'!F$5:F$257,MATCH(B249,'Revised 2019 Lockdown'!B$5:B$257,0))</f>
        <v>0</v>
      </c>
      <c r="H249" s="7">
        <f t="shared" si="27"/>
        <v>233157.95</v>
      </c>
      <c r="I249" s="6">
        <f t="shared" si="32"/>
        <v>648.93465259406798</v>
      </c>
      <c r="J249" s="6">
        <f t="shared" si="33"/>
        <v>648.93465259406798</v>
      </c>
      <c r="K249" s="5">
        <f t="shared" si="34"/>
        <v>233157.95</v>
      </c>
      <c r="L249" s="4">
        <f t="shared" si="35"/>
        <v>0</v>
      </c>
      <c r="M249" s="2" cm="1">
        <f t="array" ref="M249">SUMPRODUCT(--($L$6:$L$300&lt;&gt;1),--($C$6:$C$300=$C249),$H$6:$H$300)/SUMPRODUCT(--($L$6:$L$300&lt;&gt;1),--($C$6:$C$300=$C249),$E$6:$E$300)</f>
        <v>830.76761000731028</v>
      </c>
      <c r="N249" s="1" cm="1">
        <f t="array" ref="N249">SUMPRODUCT(--($L$6:$L$300&lt;&gt;1),--($C$6:$C$300=$C249))</f>
        <v>30</v>
      </c>
      <c r="O249" s="3">
        <f t="shared" si="29"/>
        <v>33063.224401645988</v>
      </c>
      <c r="P249" s="2" cm="1">
        <f t="array" ref="P249">SQRT(SUMPRODUCT(--($L$6:$L$300&lt;&gt;1),--($C$6:$C$300=$C249),$E$6:$E$300,$O$6:$O$300)/((N249-1)*SUMPRODUCT(--($L$6:$L$300&lt;&gt;1),--($C$6:$C$300=$C249),$E$6:$E$300)/N249))</f>
        <v>674.70305904956047</v>
      </c>
      <c r="Q249" s="2">
        <f t="shared" si="31"/>
        <v>-33.899151595384978</v>
      </c>
      <c r="R249" s="2">
        <f t="shared" si="31"/>
        <v>1695.4343716100057</v>
      </c>
      <c r="S249" s="2">
        <f t="shared" si="30"/>
        <v>648.93465259406798</v>
      </c>
    </row>
    <row r="250" spans="2:19" x14ac:dyDescent="0.35">
      <c r="B250">
        <v>629</v>
      </c>
      <c r="C250" s="17">
        <v>9</v>
      </c>
      <c r="D250" s="22" t="s">
        <v>267</v>
      </c>
      <c r="E250" s="90">
        <f>INDEX('Revised 2019 Lockdown'!H$5:H$257,MATCH(B250,'Revised 2019 Lockdown'!B$5:B$257,0))</f>
        <v>239.08999999999997</v>
      </c>
      <c r="F250" s="7">
        <f>INDEX('Revised 2019 Lockdown'!E$5:E$257,MATCH(B250,'Revised 2019 Lockdown'!B$5:B$257,0))</f>
        <v>172741.52</v>
      </c>
      <c r="G250" s="7">
        <f>INDEX('Revised 2019 Lockdown'!F$5:F$257,MATCH(B250,'Revised 2019 Lockdown'!B$5:B$257,0))</f>
        <v>3864.35</v>
      </c>
      <c r="H250" s="7">
        <f t="shared" si="27"/>
        <v>168877.16999999998</v>
      </c>
      <c r="I250" s="6">
        <f t="shared" si="32"/>
        <v>706.33305449830607</v>
      </c>
      <c r="J250" s="6">
        <f t="shared" si="33"/>
        <v>706.33305449830607</v>
      </c>
      <c r="K250" s="5">
        <f t="shared" si="34"/>
        <v>168877.16999999998</v>
      </c>
      <c r="L250" s="4">
        <f t="shared" si="35"/>
        <v>0</v>
      </c>
      <c r="M250" s="2" cm="1">
        <f t="array" ref="M250">SUMPRODUCT(--($L$6:$L$300&lt;&gt;1),--($C$6:$C$300=$C250),$H$6:$H$300)/SUMPRODUCT(--($L$6:$L$300&lt;&gt;1),--($C$6:$C$300=$C250),$E$6:$E$300)</f>
        <v>830.76761000731028</v>
      </c>
      <c r="N250" s="1" cm="1">
        <f t="array" ref="N250">SUMPRODUCT(--($L$6:$L$300&lt;&gt;1),--($C$6:$C$300=$C250))</f>
        <v>30</v>
      </c>
      <c r="O250" s="3">
        <f t="shared" si="29"/>
        <v>15483.95860472345</v>
      </c>
      <c r="P250" s="2" cm="1">
        <f t="array" ref="P250">SQRT(SUMPRODUCT(--($L$6:$L$300&lt;&gt;1),--($C$6:$C$300=$C250),$E$6:$E$300,$O$6:$O$300)/((N250-1)*SUMPRODUCT(--($L$6:$L$300&lt;&gt;1),--($C$6:$C$300=$C250),$E$6:$E$300)/N250))</f>
        <v>674.70305904956047</v>
      </c>
      <c r="Q250" s="2">
        <f t="shared" si="31"/>
        <v>-33.899151595384978</v>
      </c>
      <c r="R250" s="2">
        <f t="shared" si="31"/>
        <v>1695.4343716100057</v>
      </c>
      <c r="S250" s="2">
        <f t="shared" si="30"/>
        <v>706.33305449830607</v>
      </c>
    </row>
    <row r="251" spans="2:19" x14ac:dyDescent="0.35">
      <c r="B251">
        <v>630</v>
      </c>
      <c r="C251" s="17">
        <v>9</v>
      </c>
      <c r="D251" s="22" t="s">
        <v>268</v>
      </c>
      <c r="E251" s="90">
        <f>INDEX('Revised 2019 Lockdown'!H$5:H$257,MATCH(B251,'Revised 2019 Lockdown'!B$5:B$257,0))</f>
        <v>168.82</v>
      </c>
      <c r="F251" s="7">
        <f>INDEX('Revised 2019 Lockdown'!E$5:E$257,MATCH(B251,'Revised 2019 Lockdown'!B$5:B$257,0))</f>
        <v>241664.73</v>
      </c>
      <c r="G251" s="7">
        <f>INDEX('Revised 2019 Lockdown'!F$5:F$257,MATCH(B251,'Revised 2019 Lockdown'!B$5:B$257,0))</f>
        <v>2804.11</v>
      </c>
      <c r="H251" s="7">
        <f t="shared" si="27"/>
        <v>238860.62000000002</v>
      </c>
      <c r="I251" s="6">
        <f t="shared" si="32"/>
        <v>1414.8834261343445</v>
      </c>
      <c r="J251" s="6">
        <f t="shared" si="33"/>
        <v>1414.8834261343445</v>
      </c>
      <c r="K251" s="5">
        <f t="shared" si="34"/>
        <v>238860.62000000002</v>
      </c>
      <c r="L251" s="4">
        <f t="shared" si="35"/>
        <v>0</v>
      </c>
      <c r="M251" s="2" cm="1">
        <f t="array" ref="M251">SUMPRODUCT(--($L$6:$L$300&lt;&gt;1),--($C$6:$C$300=$C251),$H$6:$H$300)/SUMPRODUCT(--($L$6:$L$300&lt;&gt;1),--($C$6:$C$300=$C251),$E$6:$E$300)</f>
        <v>830.76761000731028</v>
      </c>
      <c r="N251" s="1" cm="1">
        <f t="array" ref="N251">SUMPRODUCT(--($L$6:$L$300&lt;&gt;1),--($C$6:$C$300=$C251))</f>
        <v>30</v>
      </c>
      <c r="O251" s="3">
        <f t="shared" si="29"/>
        <v>341191.28664975124</v>
      </c>
      <c r="P251" s="2" cm="1">
        <f t="array" ref="P251">SQRT(SUMPRODUCT(--($L$6:$L$300&lt;&gt;1),--($C$6:$C$300=$C251),$E$6:$E$300,$O$6:$O$300)/((N251-1)*SUMPRODUCT(--($L$6:$L$300&lt;&gt;1),--($C$6:$C$300=$C251),$E$6:$E$300)/N251))</f>
        <v>674.70305904956047</v>
      </c>
      <c r="Q251" s="2">
        <f t="shared" si="31"/>
        <v>-33.899151595384978</v>
      </c>
      <c r="R251" s="2">
        <f t="shared" si="31"/>
        <v>1695.4343716100057</v>
      </c>
      <c r="S251" s="2">
        <f t="shared" si="30"/>
        <v>1414.8834261343445</v>
      </c>
    </row>
    <row r="252" spans="2:19" x14ac:dyDescent="0.35">
      <c r="B252">
        <v>771</v>
      </c>
      <c r="C252" s="17">
        <v>9</v>
      </c>
      <c r="D252" s="22" t="s">
        <v>270</v>
      </c>
      <c r="E252" s="90">
        <f>INDEX('Revised 2019 Lockdown'!H$5:H$257,MATCH(B252,'Revised 2019 Lockdown'!B$5:B$257,0))</f>
        <v>150.2159801536263</v>
      </c>
      <c r="F252" s="7">
        <f>INDEX('Revised 2019 Lockdown'!E$5:E$257,MATCH(B252,'Revised 2019 Lockdown'!B$5:B$257,0))</f>
        <v>70947.31</v>
      </c>
      <c r="G252" s="7">
        <f>INDEX('Revised 2019 Lockdown'!F$5:F$257,MATCH(B252,'Revised 2019 Lockdown'!B$5:B$257,0))</f>
        <v>0</v>
      </c>
      <c r="H252" s="7">
        <f t="shared" si="27"/>
        <v>70947.31</v>
      </c>
      <c r="I252" s="6">
        <f t="shared" si="32"/>
        <v>472.30201425601979</v>
      </c>
      <c r="J252" s="6">
        <f t="shared" si="33"/>
        <v>472.30201425601979</v>
      </c>
      <c r="K252" s="5">
        <f t="shared" si="34"/>
        <v>70947.31</v>
      </c>
      <c r="L252" s="4">
        <f t="shared" si="35"/>
        <v>0</v>
      </c>
      <c r="M252" s="2" cm="1">
        <f t="array" ref="M252">SUMPRODUCT(--($L$6:$L$300&lt;&gt;1),--($C$6:$C$300=$C252),$H$6:$H$300)/SUMPRODUCT(--($L$6:$L$300&lt;&gt;1),--($C$6:$C$300=$C252),$E$6:$E$300)</f>
        <v>830.76761000731028</v>
      </c>
      <c r="N252" s="1" cm="1">
        <f t="array" ref="N252">SUMPRODUCT(--($L$6:$L$300&lt;&gt;1),--($C$6:$C$300=$C252))</f>
        <v>30</v>
      </c>
      <c r="O252" s="3">
        <f t="shared" si="29"/>
        <v>128497.58333732761</v>
      </c>
      <c r="P252" s="2" cm="1">
        <f t="array" ref="P252">SQRT(SUMPRODUCT(--($L$6:$L$300&lt;&gt;1),--($C$6:$C$300=$C252),$E$6:$E$300,$O$6:$O$300)/((N252-1)*SUMPRODUCT(--($L$6:$L$300&lt;&gt;1),--($C$6:$C$300=$C252),$E$6:$E$300)/N252))</f>
        <v>674.70305904956047</v>
      </c>
      <c r="Q252" s="2">
        <f t="shared" si="31"/>
        <v>-33.899151595384978</v>
      </c>
      <c r="R252" s="2">
        <f t="shared" si="31"/>
        <v>1695.4343716100057</v>
      </c>
      <c r="S252" s="2">
        <f t="shared" si="30"/>
        <v>472.30201425601979</v>
      </c>
    </row>
    <row r="253" spans="2:19" x14ac:dyDescent="0.35">
      <c r="B253">
        <v>830</v>
      </c>
      <c r="C253" s="17">
        <v>9</v>
      </c>
      <c r="D253" s="22" t="s">
        <v>271</v>
      </c>
      <c r="E253" s="90">
        <f>INDEX('Revised 2019 Lockdown'!H$5:H$257,MATCH(B253,'Revised 2019 Lockdown'!B$5:B$257,0))</f>
        <v>16.12858136239133</v>
      </c>
      <c r="F253" s="7">
        <f>INDEX('Revised 2019 Lockdown'!E$5:E$257,MATCH(B253,'Revised 2019 Lockdown'!B$5:B$257,0))</f>
        <v>29445.96</v>
      </c>
      <c r="G253" s="7">
        <f>INDEX('Revised 2019 Lockdown'!F$5:F$257,MATCH(B253,'Revised 2019 Lockdown'!B$5:B$257,0))</f>
        <v>0</v>
      </c>
      <c r="H253" s="7">
        <f t="shared" si="27"/>
        <v>29445.96</v>
      </c>
      <c r="I253" s="6">
        <f t="shared" si="32"/>
        <v>1825.7005584299043</v>
      </c>
      <c r="J253" s="6">
        <f t="shared" si="33"/>
        <v>1695.4343716100057</v>
      </c>
      <c r="K253" s="5">
        <f t="shared" si="34"/>
        <v>27344.951207106795</v>
      </c>
      <c r="L253" s="4">
        <f t="shared" si="35"/>
        <v>0</v>
      </c>
      <c r="M253" s="2" cm="1">
        <f t="array" ref="M253">SUMPRODUCT(--($L$6:$L$300&lt;&gt;1),--($C$6:$C$300=$C253),$H$6:$H$300)/SUMPRODUCT(--($L$6:$L$300&lt;&gt;1),--($C$6:$C$300=$C253),$E$6:$E$300)</f>
        <v>830.76761000731028</v>
      </c>
      <c r="N253" s="1" cm="1">
        <f t="array" ref="N253">SUMPRODUCT(--($L$6:$L$300&lt;&gt;1),--($C$6:$C$300=$C253))</f>
        <v>30</v>
      </c>
      <c r="O253" s="3">
        <f t="shared" si="29"/>
        <v>989891.57185687614</v>
      </c>
      <c r="P253" s="2" cm="1">
        <f t="array" ref="P253">SQRT(SUMPRODUCT(--($L$6:$L$300&lt;&gt;1),--($C$6:$C$300=$C253),$E$6:$E$300,$O$6:$O$300)/((N253-1)*SUMPRODUCT(--($L$6:$L$300&lt;&gt;1),--($C$6:$C$300=$C253),$E$6:$E$300)/N253))</f>
        <v>674.70305904956047</v>
      </c>
      <c r="Q253" s="2">
        <f t="shared" si="31"/>
        <v>-33.899151595384978</v>
      </c>
      <c r="R253" s="2">
        <f t="shared" si="31"/>
        <v>1695.4343716100057</v>
      </c>
      <c r="S253" s="2">
        <f t="shared" si="30"/>
        <v>1695.4343716100057</v>
      </c>
    </row>
    <row r="254" spans="2:19" x14ac:dyDescent="0.35">
      <c r="B254">
        <v>936</v>
      </c>
      <c r="C254" s="17">
        <v>9</v>
      </c>
      <c r="D254" s="22" t="s">
        <v>272</v>
      </c>
      <c r="E254" s="90">
        <f>INDEX('Revised 2019 Lockdown'!H$5:H$257,MATCH(B254,'Revised 2019 Lockdown'!B$5:B$257,0))</f>
        <v>40.443772007859948</v>
      </c>
      <c r="F254" s="7">
        <f>INDEX('Revised 2019 Lockdown'!E$5:E$257,MATCH(B254,'Revised 2019 Lockdown'!B$5:B$257,0))</f>
        <v>72884.08</v>
      </c>
      <c r="G254" s="7">
        <f>INDEX('Revised 2019 Lockdown'!F$5:F$257,MATCH(B254,'Revised 2019 Lockdown'!B$5:B$257,0))</f>
        <v>0</v>
      </c>
      <c r="H254" s="7">
        <f t="shared" si="27"/>
        <v>72884.08</v>
      </c>
      <c r="I254" s="6">
        <f t="shared" si="32"/>
        <v>1802.1088632839567</v>
      </c>
      <c r="J254" s="6">
        <f t="shared" si="33"/>
        <v>1695.4343716100057</v>
      </c>
      <c r="K254" s="5">
        <f t="shared" si="34"/>
        <v>68569.76117968437</v>
      </c>
      <c r="L254" s="4">
        <f t="shared" si="35"/>
        <v>0</v>
      </c>
      <c r="M254" s="2" cm="1">
        <f t="array" ref="M254">SUMPRODUCT(--($L$6:$L$300&lt;&gt;1),--($C$6:$C$300=$C254),$H$6:$H$300)/SUMPRODUCT(--($L$6:$L$300&lt;&gt;1),--($C$6:$C$300=$C254),$E$6:$E$300)</f>
        <v>830.76761000731028</v>
      </c>
      <c r="N254" s="1" cm="1">
        <f t="array" ref="N254">SUMPRODUCT(--($L$6:$L$300&lt;&gt;1),--($C$6:$C$300=$C254))</f>
        <v>30</v>
      </c>
      <c r="O254" s="3">
        <f t="shared" si="29"/>
        <v>943503.83031704614</v>
      </c>
      <c r="P254" s="2" cm="1">
        <f t="array" ref="P254">SQRT(SUMPRODUCT(--($L$6:$L$300&lt;&gt;1),--($C$6:$C$300=$C254),$E$6:$E$300,$O$6:$O$300)/((N254-1)*SUMPRODUCT(--($L$6:$L$300&lt;&gt;1),--($C$6:$C$300=$C254),$E$6:$E$300)/N254))</f>
        <v>674.70305904956047</v>
      </c>
      <c r="Q254" s="2">
        <f t="shared" si="31"/>
        <v>-33.899151595384978</v>
      </c>
      <c r="R254" s="2">
        <f t="shared" si="31"/>
        <v>1695.4343716100057</v>
      </c>
      <c r="S254" s="2">
        <f t="shared" si="30"/>
        <v>1695.4343716100057</v>
      </c>
    </row>
    <row r="255" spans="2:19" x14ac:dyDescent="0.35">
      <c r="B255">
        <v>952</v>
      </c>
      <c r="C255" s="17">
        <v>9</v>
      </c>
      <c r="D255" s="22" t="s">
        <v>273</v>
      </c>
      <c r="E255" s="90">
        <f>INDEX('Revised 2019 Lockdown'!H$5:H$257,MATCH(B255,'Revised 2019 Lockdown'!B$5:B$257,0))</f>
        <v>54.32</v>
      </c>
      <c r="F255" s="7">
        <f>INDEX('Revised 2019 Lockdown'!E$5:E$257,MATCH(B255,'Revised 2019 Lockdown'!B$5:B$257,0))</f>
        <v>71284.66</v>
      </c>
      <c r="G255" s="7">
        <f>INDEX('Revised 2019 Lockdown'!F$5:F$257,MATCH(B255,'Revised 2019 Lockdown'!B$5:B$257,0))</f>
        <v>1518.3</v>
      </c>
      <c r="H255" s="7">
        <f t="shared" si="27"/>
        <v>69766.36</v>
      </c>
      <c r="I255" s="6">
        <f>H255/E255</f>
        <v>1284.358615611193</v>
      </c>
      <c r="J255" s="6">
        <f>IF(ISERROR(IF($J$2=1,MAX(MIN(I255,R255),Q255),MIN(I255,R255))),R255,IF($J$2=1,MAX(MIN(I255,R255),Q255),MIN(I255,R255)))</f>
        <v>1284.358615611193</v>
      </c>
      <c r="K255" s="5">
        <f>J255*E255</f>
        <v>69766.36</v>
      </c>
      <c r="L255" s="4">
        <f>IF(ISERROR(I255),1,0)</f>
        <v>0</v>
      </c>
      <c r="M255" s="2" cm="1">
        <f t="array" ref="M255">SUMPRODUCT(--($L$6:$L$300&lt;&gt;1),--($C$6:$C$300=$C255),$H$6:$H$300)/SUMPRODUCT(--($L$6:$L$300&lt;&gt;1),--($C$6:$C$300=$C255),$E$6:$E$300)</f>
        <v>830.76761000731028</v>
      </c>
      <c r="N255" s="1" cm="1">
        <f t="array" ref="N255">SUMPRODUCT(--($L$6:$L$300&lt;&gt;1),--($C$6:$C$300=$C255))</f>
        <v>30</v>
      </c>
      <c r="O255" s="3">
        <f>IF(ISERROR((I255-M255)^2),0,(I255-M255)^2)</f>
        <v>205744.80036474159</v>
      </c>
      <c r="P255" s="2" cm="1">
        <f t="array" ref="P255">SQRT(SUMPRODUCT(--($L$6:$L$300&lt;&gt;1),--($C$6:$C$300=$C255),$E$6:$E$300,$O$6:$O$300)/((N255-1)*SUMPRODUCT(--($L$6:$L$300&lt;&gt;1),--($C$6:$C$300=$C255),$E$6:$E$300)/N255))</f>
        <v>674.70305904956047</v>
      </c>
      <c r="Q255" s="2">
        <f t="shared" si="31"/>
        <v>-33.899151595384978</v>
      </c>
      <c r="R255" s="2">
        <f t="shared" si="31"/>
        <v>1695.4343716100057</v>
      </c>
      <c r="S255" s="2">
        <f>IF(ISERROR(MAX(MIN(I255,R255),Q255)),R255,MAX(MIN(I255,R255),Q255))</f>
        <v>1284.358615611193</v>
      </c>
    </row>
    <row r="256" spans="2:19" x14ac:dyDescent="0.35">
      <c r="B256">
        <v>982</v>
      </c>
      <c r="C256" s="17">
        <v>9</v>
      </c>
      <c r="D256" s="22" t="s">
        <v>274</v>
      </c>
      <c r="E256" s="90">
        <f>INDEX('Revised 2019 Lockdown'!H$5:H$257,MATCH(B256,'Revised 2019 Lockdown'!B$5:B$257,0))</f>
        <v>106.72298014171729</v>
      </c>
      <c r="F256" s="7">
        <f>INDEX('Revised 2019 Lockdown'!E$5:E$257,MATCH(B256,'Revised 2019 Lockdown'!B$5:B$257,0))</f>
        <v>139517.66</v>
      </c>
      <c r="G256" s="7">
        <f>INDEX('Revised 2019 Lockdown'!F$5:F$257,MATCH(B256,'Revised 2019 Lockdown'!B$5:B$257,0))</f>
        <v>0</v>
      </c>
      <c r="H256" s="7">
        <f t="shared" si="27"/>
        <v>139517.66</v>
      </c>
      <c r="I256" s="6">
        <f>H256/E256</f>
        <v>1307.2878944603563</v>
      </c>
      <c r="J256" s="6">
        <f>IF(ISERROR(IF($J$2=1,MAX(MIN(I256,R256),Q256),MIN(I256,R256))),R256,IF($J$2=1,MAX(MIN(I256,R256),Q256),MIN(I256,R256)))</f>
        <v>1307.2878944603563</v>
      </c>
      <c r="K256" s="5">
        <f>J256*E256</f>
        <v>139517.66</v>
      </c>
      <c r="L256" s="4">
        <f>IF(ISERROR(I256),1,0)</f>
        <v>0</v>
      </c>
      <c r="M256" s="2" cm="1">
        <f t="array" ref="M256">SUMPRODUCT(--($L$6:$L$300&lt;&gt;1),--($C$6:$C$300=$C256),$H$6:$H$300)/SUMPRODUCT(--($L$6:$L$300&lt;&gt;1),--($C$6:$C$300=$C256),$E$6:$E$300)</f>
        <v>830.76761000731028</v>
      </c>
      <c r="N256" s="1" cm="1">
        <f t="array" ref="N256">SUMPRODUCT(--($L$6:$L$300&lt;&gt;1),--($C$6:$C$300=$C256))</f>
        <v>30</v>
      </c>
      <c r="O256" s="3">
        <f>IF(ISERROR((I256-M256)^2),0,(I256-M256)^2)</f>
        <v>227071.58149521184</v>
      </c>
      <c r="P256" s="2" cm="1">
        <f t="array" ref="P256">SQRT(SUMPRODUCT(--($L$6:$L$300&lt;&gt;1),--($C$6:$C$300=$C256),$E$6:$E$300,$O$6:$O$300)/((N256-1)*SUMPRODUCT(--($L$6:$L$300&lt;&gt;1),--($C$6:$C$300=$C256),$E$6:$E$300)/N256))</f>
        <v>674.70305904956047</v>
      </c>
      <c r="Q256" s="2">
        <f t="shared" si="31"/>
        <v>-33.899151595384978</v>
      </c>
      <c r="R256" s="2">
        <f t="shared" si="31"/>
        <v>1695.4343716100057</v>
      </c>
      <c r="S256" s="2">
        <f>IF(ISERROR(MAX(MIN(I256,R256),Q256)),R256,MAX(MIN(I256,R256),Q256))</f>
        <v>1307.2878944603563</v>
      </c>
    </row>
    <row r="257" spans="2:19" x14ac:dyDescent="0.35">
      <c r="B257">
        <v>987</v>
      </c>
      <c r="C257" s="17">
        <v>9</v>
      </c>
      <c r="D257" s="22" t="s">
        <v>275</v>
      </c>
      <c r="E257" s="90">
        <f>INDEX('Revised 2019 Lockdown'!H$5:H$257,MATCH(B257,'Revised 2019 Lockdown'!B$5:B$257,0))</f>
        <v>399.24791654162198</v>
      </c>
      <c r="F257" s="7">
        <f>INDEX('Revised 2019 Lockdown'!E$5:E$257,MATCH(B257,'Revised 2019 Lockdown'!B$5:B$257,0))</f>
        <v>108258.73</v>
      </c>
      <c r="G257" s="7">
        <f>INDEX('Revised 2019 Lockdown'!F$5:F$257,MATCH(B257,'Revised 2019 Lockdown'!B$5:B$257,0))</f>
        <v>0</v>
      </c>
      <c r="H257" s="7">
        <f t="shared" si="27"/>
        <v>108258.73</v>
      </c>
      <c r="I257" s="6">
        <f>H257/E257</f>
        <v>271.15665608918442</v>
      </c>
      <c r="J257" s="6">
        <f>IF(ISERROR(IF($J$2=1,MAX(MIN(I257,R257),Q257),MIN(I257,R257))),R257,IF($J$2=1,MAX(MIN(I257,R257),Q257),MIN(I257,R257)))</f>
        <v>271.15665608918442</v>
      </c>
      <c r="K257" s="5">
        <f>J257*E257</f>
        <v>108258.73</v>
      </c>
      <c r="L257" s="4">
        <f>IF(ISERROR(I257),1,0)</f>
        <v>0</v>
      </c>
      <c r="M257" s="2" cm="1">
        <f t="array" ref="M257">SUMPRODUCT(--($L$6:$L$300&lt;&gt;1),--($C$6:$C$300=$C257),$H$6:$H$300)/SUMPRODUCT(--($L$6:$L$300&lt;&gt;1),--($C$6:$C$300=$C257),$E$6:$E$300)</f>
        <v>830.76761000731028</v>
      </c>
      <c r="N257" s="1" cm="1">
        <f t="array" ref="N257">SUMPRODUCT(--($L$6:$L$300&lt;&gt;1),--($C$6:$C$300=$C257))</f>
        <v>30</v>
      </c>
      <c r="O257" s="3">
        <f>IF(ISERROR((I257-M257)^2),0,(I257-M257)^2)</f>
        <v>313164.41974515485</v>
      </c>
      <c r="P257" s="2" cm="1">
        <f t="array" ref="P257">SQRT(SUMPRODUCT(--($L$6:$L$300&lt;&gt;1),--($C$6:$C$300=$C257),$E$6:$E$300,$O$6:$O$300)/((N257-1)*SUMPRODUCT(--($L$6:$L$300&lt;&gt;1),--($C$6:$C$300=$C257),$E$6:$E$300)/N257))</f>
        <v>674.70305904956047</v>
      </c>
      <c r="Q257" s="2">
        <f t="shared" si="31"/>
        <v>-33.899151595384978</v>
      </c>
      <c r="R257" s="2">
        <f t="shared" si="31"/>
        <v>1695.4343716100057</v>
      </c>
      <c r="S257" s="2">
        <f>IF(ISERROR(MAX(MIN(I257,R257),Q257)),R257,MAX(MIN(I257,R257),Q257))</f>
        <v>271.15665608918442</v>
      </c>
    </row>
    <row r="258" spans="2:19" x14ac:dyDescent="0.35">
      <c r="B258">
        <v>998</v>
      </c>
      <c r="C258" s="17">
        <v>9</v>
      </c>
      <c r="D258" s="22" t="s">
        <v>354</v>
      </c>
      <c r="E258" s="90">
        <f>INDEX('Revised 2019 Lockdown'!H$5:H$257,MATCH(B258,'Revised 2019 Lockdown'!B$5:B$257,0))</f>
        <v>43.685214957722998</v>
      </c>
      <c r="F258" s="7">
        <f>INDEX('Revised 2019 Lockdown'!E$5:E$257,MATCH(B258,'Revised 2019 Lockdown'!B$5:B$257,0))</f>
        <v>227035.45</v>
      </c>
      <c r="G258" s="7">
        <f>INDEX('Revised 2019 Lockdown'!F$5:F$257,MATCH(B258,'Revised 2019 Lockdown'!B$5:B$257,0))</f>
        <v>0</v>
      </c>
      <c r="H258" s="7">
        <f t="shared" si="27"/>
        <v>227035.45</v>
      </c>
      <c r="I258" s="6">
        <f>H258/E258</f>
        <v>5197.0775517464399</v>
      </c>
      <c r="J258" s="6">
        <f>IF(ISERROR(IF($J$2=1,MAX(MIN(I258,R258),Q258),MIN(I258,R258))),R258,IF($J$2=1,MAX(MIN(I258,R258),Q258),MIN(I258,R258)))</f>
        <v>1695.4343716100057</v>
      </c>
      <c r="K258" s="5">
        <f>J258*E258</f>
        <v>74065.414970495112</v>
      </c>
      <c r="L258" s="4">
        <f>IF(ISERROR(I258),1,0)</f>
        <v>0</v>
      </c>
      <c r="M258" s="2" cm="1">
        <f t="array" ref="M258">SUMPRODUCT(--($L$6:$L$300&lt;&gt;1),--($C$6:$C$300=$C258),$H$6:$H$300)/SUMPRODUCT(--($L$6:$L$300&lt;&gt;1),--($C$6:$C$300=$C258),$E$6:$E$300)</f>
        <v>830.76761000731028</v>
      </c>
      <c r="N258" s="1" cm="1">
        <f t="array" ref="N258">SUMPRODUCT(--($L$6:$L$300&lt;&gt;1),--($C$6:$C$300=$C258))</f>
        <v>30</v>
      </c>
      <c r="O258" s="3">
        <f>IF(ISERROR((I258-M258)^2),0,(I258-M258)^2)</f>
        <v>19064662.507329959</v>
      </c>
      <c r="P258" s="2" cm="1">
        <f t="array" ref="P258">SQRT(SUMPRODUCT(--($L$6:$L$300&lt;&gt;1),--($C$6:$C$300=$C258),$E$6:$E$300,$O$6:$O$300)/((N258-1)*SUMPRODUCT(--($L$6:$L$300&lt;&gt;1),--($C$6:$C$300=$C258),$E$6:$E$300)/N258))</f>
        <v>674.70305904956047</v>
      </c>
      <c r="Q258" s="2">
        <f t="shared" si="31"/>
        <v>-33.899151595384978</v>
      </c>
      <c r="R258" s="2">
        <f t="shared" si="31"/>
        <v>1695.4343716100057</v>
      </c>
      <c r="S258" s="2">
        <f>IF(ISERROR(MAX(MIN(I258,R258),Q258)),R258,MAX(MIN(I258,R258),Q258))</f>
        <v>1695.4343716100057</v>
      </c>
    </row>
  </sheetData>
  <conditionalFormatting sqref="B50 B81 B164 B183 B213">
    <cfRule type="expression" dxfId="9" priority="11">
      <formula>$C50&lt;&gt;$C48</formula>
    </cfRule>
  </conditionalFormatting>
  <conditionalFormatting sqref="B82">
    <cfRule type="expression" dxfId="8" priority="13">
      <formula>$C82&lt;&gt;$C79</formula>
    </cfRule>
  </conditionalFormatting>
  <conditionalFormatting sqref="B150 B171">
    <cfRule type="expression" dxfId="7" priority="12">
      <formula>$C150&lt;&gt;#REF!</formula>
    </cfRule>
  </conditionalFormatting>
  <conditionalFormatting sqref="B6:D6 B7:B49 B51:B80 B83:B149 B151:B163 B165:B170 B172:B182 B184:B212 B214:B236">
    <cfRule type="expression" dxfId="6" priority="10">
      <formula>$C6&lt;&gt;$C5</formula>
    </cfRule>
  </conditionalFormatting>
  <conditionalFormatting sqref="C7:D258">
    <cfRule type="expression" dxfId="5" priority="9">
      <formula>$C7&lt;&gt;$C6</formula>
    </cfRule>
  </conditionalFormatting>
  <conditionalFormatting sqref="E4:H4">
    <cfRule type="expression" dxfId="4" priority="2">
      <formula>$C4&lt;&gt;$C3</formula>
    </cfRule>
  </conditionalFormatting>
  <conditionalFormatting sqref="E6:H258">
    <cfRule type="expression" dxfId="3" priority="8">
      <formula>$C6&lt;&gt;$C5</formula>
    </cfRule>
  </conditionalFormatting>
  <conditionalFormatting sqref="I6:S258">
    <cfRule type="expression" dxfId="2" priority="23">
      <formula>$C6&lt;&gt;$C5</formula>
    </cfRule>
  </conditionalFormatting>
  <conditionalFormatting sqref="J6:J258">
    <cfRule type="expression" dxfId="1" priority="22">
      <formula>$J6&lt;$I6=TRUE</formula>
    </cfRule>
  </conditionalFormatting>
  <conditionalFormatting sqref="K4">
    <cfRule type="expression" dxfId="0" priority="1">
      <formula>$C4&lt;&gt;$C3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9B2DA-7C41-47E5-B8C6-29F4D18B9B0E}">
  <sheetPr codeName="Sheet3">
    <tabColor rgb="FFFFCCFF"/>
  </sheetPr>
  <dimension ref="A1:I257"/>
  <sheetViews>
    <sheetView workbookViewId="0"/>
  </sheetViews>
  <sheetFormatPr defaultColWidth="8.81640625" defaultRowHeight="14.5" x14ac:dyDescent="0.35"/>
  <cols>
    <col min="1" max="1" width="4.81640625" style="18" customWidth="1"/>
    <col min="2" max="2" width="8.54296875" style="18" customWidth="1"/>
    <col min="3" max="3" width="8.81640625" style="18" customWidth="1"/>
    <col min="4" max="4" width="53" style="18" customWidth="1"/>
    <col min="5" max="8" width="13.81640625" style="18" customWidth="1"/>
    <col min="9" max="9" width="12.81640625" style="18" customWidth="1"/>
    <col min="10" max="16384" width="8.81640625" style="18"/>
  </cols>
  <sheetData>
    <row r="1" spans="1:9" x14ac:dyDescent="0.35">
      <c r="E1" s="18" t="s">
        <v>299</v>
      </c>
      <c r="F1" s="97">
        <v>1000</v>
      </c>
      <c r="H1" s="18" t="s">
        <v>300</v>
      </c>
      <c r="I1" s="98">
        <f t="array" ref="I1">AVERAGE(IF($I$5:$I$299&lt;&gt;0,IF($I$5:$I$299&lt;=F1,$I$5:$I$299)))</f>
        <v>545.79338141288633</v>
      </c>
    </row>
    <row r="2" spans="1:9" x14ac:dyDescent="0.35">
      <c r="B2" s="19" t="s">
        <v>364</v>
      </c>
      <c r="E2" s="20"/>
      <c r="H2" s="18" t="s">
        <v>302</v>
      </c>
      <c r="I2" s="98">
        <f t="array" ref="I2">STDEV(IF($I$5:$I$299&lt;&gt;0,IF($I$5:$I$299&lt;=F1,$I$5:$I$299)))</f>
        <v>202.22970985423567</v>
      </c>
    </row>
    <row r="3" spans="1:9" ht="15" thickBot="1" x14ac:dyDescent="0.4">
      <c r="E3" s="21">
        <f>SUM(E5:E299)</f>
        <v>384374036.62000006</v>
      </c>
      <c r="F3" s="21">
        <f>SUM(F5:F299)</f>
        <v>55058911.009999968</v>
      </c>
      <c r="G3" s="21">
        <f>SUM(G5:G299)</f>
        <v>329315125.61000001</v>
      </c>
      <c r="H3" s="91">
        <f>SUM(H5:H299)</f>
        <v>730841.88021675625</v>
      </c>
      <c r="I3" s="97">
        <f>G3/H3</f>
        <v>450.59695472340792</v>
      </c>
    </row>
    <row r="4" spans="1:9" ht="44" thickBot="1" x14ac:dyDescent="0.4">
      <c r="B4" s="124" t="s">
        <v>6</v>
      </c>
      <c r="C4" s="8" t="s">
        <v>7</v>
      </c>
      <c r="D4" s="8" t="s">
        <v>8</v>
      </c>
      <c r="E4" s="8" t="s">
        <v>303</v>
      </c>
      <c r="F4" s="8" t="s">
        <v>304</v>
      </c>
      <c r="G4" s="8" t="s">
        <v>305</v>
      </c>
      <c r="H4" s="99" t="s">
        <v>306</v>
      </c>
      <c r="I4" s="8" t="s">
        <v>307</v>
      </c>
    </row>
    <row r="5" spans="1:9" x14ac:dyDescent="0.35">
      <c r="A5" s="23">
        <v>1</v>
      </c>
      <c r="B5" s="100">
        <v>1</v>
      </c>
      <c r="C5" s="17">
        <v>1</v>
      </c>
      <c r="D5" s="22" t="s">
        <v>30</v>
      </c>
      <c r="E5" s="101">
        <v>9839512.9000000004</v>
      </c>
      <c r="F5" s="102">
        <v>303786.2</v>
      </c>
      <c r="G5" s="102">
        <v>9535726.7000000011</v>
      </c>
      <c r="H5" s="103">
        <v>28377.279999999999</v>
      </c>
      <c r="I5" s="104">
        <f t="shared" ref="I5:I68" si="0">IFERROR(G5/H5,0)</f>
        <v>336.03385172927079</v>
      </c>
    </row>
    <row r="6" spans="1:9" x14ac:dyDescent="0.35">
      <c r="A6" s="23">
        <v>1</v>
      </c>
      <c r="B6" s="100">
        <v>20</v>
      </c>
      <c r="C6" s="17">
        <v>1</v>
      </c>
      <c r="D6" s="22" t="s">
        <v>31</v>
      </c>
      <c r="E6" s="101">
        <v>71195179.849999994</v>
      </c>
      <c r="F6" s="102">
        <v>8915663.2400000002</v>
      </c>
      <c r="G6" s="102">
        <v>62279516.609999992</v>
      </c>
      <c r="H6" s="103">
        <v>99784.55</v>
      </c>
      <c r="I6" s="104">
        <f t="shared" si="0"/>
        <v>624.1398754616821</v>
      </c>
    </row>
    <row r="7" spans="1:9" x14ac:dyDescent="0.35">
      <c r="A7" s="23">
        <v>1</v>
      </c>
      <c r="B7" s="100">
        <v>50</v>
      </c>
      <c r="C7" s="17">
        <v>1</v>
      </c>
      <c r="D7" s="22" t="s">
        <v>32</v>
      </c>
      <c r="E7" s="101">
        <v>10769479.68</v>
      </c>
      <c r="F7" s="102">
        <v>1985825.52</v>
      </c>
      <c r="G7" s="102">
        <v>8783654.1600000001</v>
      </c>
      <c r="H7" s="103">
        <v>21706.59</v>
      </c>
      <c r="I7" s="104">
        <f t="shared" si="0"/>
        <v>404.65380144923733</v>
      </c>
    </row>
    <row r="8" spans="1:9" x14ac:dyDescent="0.35">
      <c r="A8" s="23">
        <v>1</v>
      </c>
      <c r="B8" s="100">
        <v>97</v>
      </c>
      <c r="C8" s="17">
        <v>1</v>
      </c>
      <c r="D8" s="22" t="s">
        <v>33</v>
      </c>
      <c r="E8" s="101">
        <v>29964286.199999999</v>
      </c>
      <c r="F8" s="102">
        <v>4815316.72</v>
      </c>
      <c r="G8" s="102">
        <v>25148969.48</v>
      </c>
      <c r="H8" s="103">
        <v>53554.62000000001</v>
      </c>
      <c r="I8" s="104">
        <f t="shared" si="0"/>
        <v>469.59477034847777</v>
      </c>
    </row>
    <row r="9" spans="1:9" x14ac:dyDescent="0.35">
      <c r="A9" s="23">
        <v>1</v>
      </c>
      <c r="B9" s="100">
        <v>172</v>
      </c>
      <c r="C9" s="17">
        <v>1</v>
      </c>
      <c r="D9" s="22" t="s">
        <v>34</v>
      </c>
      <c r="E9" s="101">
        <v>15527274.060000001</v>
      </c>
      <c r="F9" s="102">
        <v>2705559.01</v>
      </c>
      <c r="G9" s="102">
        <v>12821715.050000001</v>
      </c>
      <c r="H9" s="103">
        <v>33148.810000000005</v>
      </c>
      <c r="I9" s="104">
        <f t="shared" si="0"/>
        <v>386.79261940323045</v>
      </c>
    </row>
    <row r="10" spans="1:9" x14ac:dyDescent="0.35">
      <c r="A10" s="23">
        <v>1</v>
      </c>
      <c r="B10" s="100">
        <v>270</v>
      </c>
      <c r="C10" s="17">
        <v>1</v>
      </c>
      <c r="D10" s="22" t="s">
        <v>35</v>
      </c>
      <c r="E10" s="101">
        <v>40203570.229999997</v>
      </c>
      <c r="F10" s="102">
        <v>2597373.92</v>
      </c>
      <c r="G10" s="102">
        <v>37606196.309999995</v>
      </c>
      <c r="H10" s="103">
        <v>74041.960000000006</v>
      </c>
      <c r="I10" s="104">
        <f t="shared" si="0"/>
        <v>507.90384681874968</v>
      </c>
    </row>
    <row r="11" spans="1:9" x14ac:dyDescent="0.35">
      <c r="A11" s="23">
        <v>2</v>
      </c>
      <c r="B11" s="100">
        <v>6</v>
      </c>
      <c r="C11" s="17">
        <v>2</v>
      </c>
      <c r="D11" s="22" t="s">
        <v>36</v>
      </c>
      <c r="E11" s="101">
        <v>19734526.949999999</v>
      </c>
      <c r="F11" s="102">
        <v>3742083.3</v>
      </c>
      <c r="G11" s="102">
        <v>15992443.649999999</v>
      </c>
      <c r="H11" s="103">
        <v>41206.969999999987</v>
      </c>
      <c r="I11" s="104">
        <f t="shared" si="0"/>
        <v>388.10045121007448</v>
      </c>
    </row>
    <row r="12" spans="1:9" x14ac:dyDescent="0.35">
      <c r="A12" s="23">
        <v>2</v>
      </c>
      <c r="B12" s="100">
        <v>18</v>
      </c>
      <c r="C12" s="17">
        <v>2</v>
      </c>
      <c r="D12" s="22" t="s">
        <v>37</v>
      </c>
      <c r="E12" s="101">
        <v>8785791</v>
      </c>
      <c r="F12" s="102">
        <v>2133782.4900000002</v>
      </c>
      <c r="G12" s="102">
        <v>6652008.5099999998</v>
      </c>
      <c r="H12" s="103">
        <v>19941.120000000003</v>
      </c>
      <c r="I12" s="104">
        <f t="shared" si="0"/>
        <v>333.58249235750043</v>
      </c>
    </row>
    <row r="13" spans="1:9" x14ac:dyDescent="0.35">
      <c r="A13" s="23">
        <v>2</v>
      </c>
      <c r="B13" s="100">
        <v>53</v>
      </c>
      <c r="C13" s="17">
        <v>2</v>
      </c>
      <c r="D13" s="22" t="s">
        <v>38</v>
      </c>
      <c r="E13" s="101">
        <v>10395927.890000001</v>
      </c>
      <c r="F13" s="102">
        <v>2947532.46</v>
      </c>
      <c r="G13" s="102">
        <v>7448395.4300000006</v>
      </c>
      <c r="H13" s="103">
        <v>34960.206400000003</v>
      </c>
      <c r="I13" s="104">
        <f t="shared" si="0"/>
        <v>213.05353134299574</v>
      </c>
    </row>
    <row r="14" spans="1:9" x14ac:dyDescent="0.35">
      <c r="A14" s="23">
        <v>2</v>
      </c>
      <c r="B14" s="100">
        <v>335</v>
      </c>
      <c r="C14" s="17">
        <v>2</v>
      </c>
      <c r="D14" s="22" t="s">
        <v>39</v>
      </c>
      <c r="E14" s="101">
        <v>15371539.85</v>
      </c>
      <c r="F14" s="102">
        <v>1961363.18</v>
      </c>
      <c r="G14" s="102">
        <v>13410176.67</v>
      </c>
      <c r="H14" s="103">
        <v>25689.83</v>
      </c>
      <c r="I14" s="104">
        <f t="shared" si="0"/>
        <v>522.00332466193822</v>
      </c>
    </row>
    <row r="15" spans="1:9" x14ac:dyDescent="0.35">
      <c r="A15" s="23">
        <v>2</v>
      </c>
      <c r="B15" s="100">
        <v>357</v>
      </c>
      <c r="C15" s="17">
        <v>2</v>
      </c>
      <c r="D15" s="22" t="s">
        <v>40</v>
      </c>
      <c r="E15" s="101">
        <v>13658152.119999999</v>
      </c>
      <c r="F15" s="102">
        <v>3498711.4300000006</v>
      </c>
      <c r="G15" s="102">
        <v>10159440.689999998</v>
      </c>
      <c r="H15" s="103">
        <v>34912.030000000006</v>
      </c>
      <c r="I15" s="104">
        <f t="shared" si="0"/>
        <v>291.00114459113365</v>
      </c>
    </row>
    <row r="16" spans="1:9" x14ac:dyDescent="0.35">
      <c r="A16" s="23">
        <v>2</v>
      </c>
      <c r="B16" s="100">
        <v>441</v>
      </c>
      <c r="C16" s="17">
        <v>2</v>
      </c>
      <c r="D16" s="22" t="s">
        <v>41</v>
      </c>
      <c r="E16" s="101">
        <v>19919415.420000002</v>
      </c>
      <c r="F16" s="102">
        <v>6656078.0499999989</v>
      </c>
      <c r="G16" s="102">
        <v>13263337.370000003</v>
      </c>
      <c r="H16" s="103">
        <v>55231.539999999986</v>
      </c>
      <c r="I16" s="104">
        <f t="shared" si="0"/>
        <v>240.14064011251554</v>
      </c>
    </row>
    <row r="17" spans="1:9" x14ac:dyDescent="0.35">
      <c r="A17" s="23">
        <v>3</v>
      </c>
      <c r="B17" s="100">
        <v>14</v>
      </c>
      <c r="C17" s="17">
        <v>3</v>
      </c>
      <c r="D17" s="22" t="s">
        <v>42</v>
      </c>
      <c r="E17" s="101">
        <v>2696626.28</v>
      </c>
      <c r="F17" s="102">
        <v>129351.95</v>
      </c>
      <c r="G17" s="102">
        <v>2567274.3299999996</v>
      </c>
      <c r="H17" s="103">
        <v>11108.29</v>
      </c>
      <c r="I17" s="104">
        <f t="shared" si="0"/>
        <v>231.11336938448667</v>
      </c>
    </row>
    <row r="18" spans="1:9" x14ac:dyDescent="0.35">
      <c r="A18" s="23">
        <v>3</v>
      </c>
      <c r="B18" s="100">
        <v>36</v>
      </c>
      <c r="C18" s="17">
        <v>3</v>
      </c>
      <c r="D18" s="22" t="s">
        <v>43</v>
      </c>
      <c r="E18" s="101">
        <v>6566433.6200000001</v>
      </c>
      <c r="F18" s="102">
        <v>622957</v>
      </c>
      <c r="G18" s="102">
        <v>5943476.6200000001</v>
      </c>
      <c r="H18" s="103">
        <v>5586.73</v>
      </c>
      <c r="I18" s="104">
        <f t="shared" si="0"/>
        <v>1063.8560696507618</v>
      </c>
    </row>
    <row r="19" spans="1:9" x14ac:dyDescent="0.35">
      <c r="A19" s="23">
        <v>3</v>
      </c>
      <c r="B19" s="100">
        <v>55</v>
      </c>
      <c r="C19" s="17">
        <v>3</v>
      </c>
      <c r="D19" s="22" t="s">
        <v>44</v>
      </c>
      <c r="E19" s="101">
        <v>1496659.65</v>
      </c>
      <c r="F19" s="102">
        <v>60217.409999999996</v>
      </c>
      <c r="G19" s="102">
        <v>1436442.24</v>
      </c>
      <c r="H19" s="103">
        <v>3486.1699999999992</v>
      </c>
      <c r="I19" s="104">
        <f t="shared" si="0"/>
        <v>412.04021605372094</v>
      </c>
    </row>
    <row r="20" spans="1:9" x14ac:dyDescent="0.35">
      <c r="A20" s="23">
        <v>3</v>
      </c>
      <c r="B20" s="100">
        <v>103</v>
      </c>
      <c r="C20" s="17">
        <v>3</v>
      </c>
      <c r="D20" s="22" t="s">
        <v>45</v>
      </c>
      <c r="E20" s="101">
        <v>1753178.73</v>
      </c>
      <c r="F20" s="102">
        <v>368978.78</v>
      </c>
      <c r="G20" s="102">
        <v>1384199.95</v>
      </c>
      <c r="H20" s="103">
        <v>4157.59</v>
      </c>
      <c r="I20" s="104">
        <f t="shared" si="0"/>
        <v>332.93324979134542</v>
      </c>
    </row>
    <row r="21" spans="1:9" x14ac:dyDescent="0.35">
      <c r="A21" s="23">
        <v>3</v>
      </c>
      <c r="B21" s="100">
        <v>123</v>
      </c>
      <c r="C21" s="17">
        <v>3</v>
      </c>
      <c r="D21" s="22" t="s">
        <v>46</v>
      </c>
      <c r="E21" s="101">
        <v>2566779.13</v>
      </c>
      <c r="F21" s="102">
        <v>0</v>
      </c>
      <c r="G21" s="102">
        <v>2566779.13</v>
      </c>
      <c r="H21" s="103">
        <v>6660.2900000000009</v>
      </c>
      <c r="I21" s="104">
        <f t="shared" si="0"/>
        <v>385.38549072187539</v>
      </c>
    </row>
    <row r="22" spans="1:9" x14ac:dyDescent="0.35">
      <c r="A22" s="23">
        <v>3</v>
      </c>
      <c r="B22" s="100">
        <v>179</v>
      </c>
      <c r="C22" s="17">
        <v>3</v>
      </c>
      <c r="D22" s="22" t="s">
        <v>47</v>
      </c>
      <c r="E22" s="101">
        <v>2969506.46</v>
      </c>
      <c r="F22" s="102">
        <v>514954.06</v>
      </c>
      <c r="G22" s="102">
        <v>2454552.4</v>
      </c>
      <c r="H22" s="103">
        <v>4763.5400000000009</v>
      </c>
      <c r="I22" s="104">
        <f t="shared" si="0"/>
        <v>515.27905717176714</v>
      </c>
    </row>
    <row r="23" spans="1:9" x14ac:dyDescent="0.35">
      <c r="A23" s="23">
        <v>3</v>
      </c>
      <c r="B23" s="100">
        <v>293</v>
      </c>
      <c r="C23" s="17">
        <v>3</v>
      </c>
      <c r="D23" s="22" t="s">
        <v>48</v>
      </c>
      <c r="E23" s="101">
        <v>2668555.6</v>
      </c>
      <c r="F23" s="102">
        <v>804269.87</v>
      </c>
      <c r="G23" s="102">
        <v>1864285.73</v>
      </c>
      <c r="H23" s="103">
        <v>7281.260000000002</v>
      </c>
      <c r="I23" s="104">
        <f t="shared" si="0"/>
        <v>256.0388902470176</v>
      </c>
    </row>
    <row r="24" spans="1:9" x14ac:dyDescent="0.35">
      <c r="A24" s="23">
        <v>4</v>
      </c>
      <c r="B24" s="100">
        <v>12</v>
      </c>
      <c r="C24" s="17">
        <v>4</v>
      </c>
      <c r="D24" s="22" t="s">
        <v>49</v>
      </c>
      <c r="E24" s="101">
        <v>3052966.7</v>
      </c>
      <c r="F24" s="102">
        <v>488646.3899999999</v>
      </c>
      <c r="G24" s="102">
        <v>2564320.3100000005</v>
      </c>
      <c r="H24" s="103">
        <v>4825.329999999999</v>
      </c>
      <c r="I24" s="104">
        <f t="shared" si="0"/>
        <v>531.42900278322952</v>
      </c>
    </row>
    <row r="25" spans="1:9" x14ac:dyDescent="0.35">
      <c r="A25" s="23">
        <v>4</v>
      </c>
      <c r="B25" s="100">
        <v>21</v>
      </c>
      <c r="C25" s="17">
        <v>4</v>
      </c>
      <c r="D25" s="22" t="s">
        <v>50</v>
      </c>
      <c r="E25" s="101">
        <v>3295191.2</v>
      </c>
      <c r="F25" s="102">
        <v>429434.07</v>
      </c>
      <c r="G25" s="102">
        <v>2865757.1300000004</v>
      </c>
      <c r="H25" s="103">
        <v>5084.4800000000014</v>
      </c>
      <c r="I25" s="104">
        <f t="shared" si="0"/>
        <v>563.6283612090125</v>
      </c>
    </row>
    <row r="26" spans="1:9" x14ac:dyDescent="0.35">
      <c r="A26" s="23">
        <v>4</v>
      </c>
      <c r="B26" s="100">
        <v>34</v>
      </c>
      <c r="C26" s="17">
        <v>4</v>
      </c>
      <c r="D26" s="22" t="s">
        <v>51</v>
      </c>
      <c r="E26" s="101">
        <v>2138130.23</v>
      </c>
      <c r="F26" s="102">
        <v>417619.64</v>
      </c>
      <c r="G26" s="102">
        <v>1720510.5899999999</v>
      </c>
      <c r="H26" s="103">
        <v>4463.82</v>
      </c>
      <c r="I26" s="104">
        <f t="shared" si="0"/>
        <v>385.43458069545812</v>
      </c>
    </row>
    <row r="27" spans="1:9" x14ac:dyDescent="0.35">
      <c r="A27" s="23">
        <v>4</v>
      </c>
      <c r="B27" s="100">
        <v>87</v>
      </c>
      <c r="C27" s="17">
        <v>4</v>
      </c>
      <c r="D27" s="22" t="s">
        <v>52</v>
      </c>
      <c r="E27" s="101">
        <v>4913017.38</v>
      </c>
      <c r="F27" s="102">
        <v>799960.04</v>
      </c>
      <c r="G27" s="102">
        <v>4113057.34</v>
      </c>
      <c r="H27" s="103">
        <v>10236.479999999998</v>
      </c>
      <c r="I27" s="104">
        <f t="shared" si="0"/>
        <v>401.80387594173004</v>
      </c>
    </row>
    <row r="28" spans="1:9" x14ac:dyDescent="0.35">
      <c r="A28" s="23">
        <v>4</v>
      </c>
      <c r="B28" s="100">
        <v>88</v>
      </c>
      <c r="C28" s="17">
        <v>4</v>
      </c>
      <c r="D28" s="22" t="s">
        <v>53</v>
      </c>
      <c r="E28" s="101">
        <v>2453153.67</v>
      </c>
      <c r="F28" s="102">
        <v>459020.94</v>
      </c>
      <c r="G28" s="102">
        <v>1994132.73</v>
      </c>
      <c r="H28" s="103">
        <v>4907.8008</v>
      </c>
      <c r="I28" s="104">
        <f t="shared" si="0"/>
        <v>406.31900341187441</v>
      </c>
    </row>
    <row r="29" spans="1:9" x14ac:dyDescent="0.35">
      <c r="A29" s="23">
        <v>4</v>
      </c>
      <c r="B29" s="100">
        <v>89</v>
      </c>
      <c r="C29" s="17">
        <v>4</v>
      </c>
      <c r="D29" s="22" t="s">
        <v>344</v>
      </c>
      <c r="E29" s="101">
        <v>4597416.66</v>
      </c>
      <c r="F29" s="102">
        <v>379921.47</v>
      </c>
      <c r="G29" s="102">
        <v>4217495.1900000004</v>
      </c>
      <c r="H29" s="103">
        <v>5289.19</v>
      </c>
      <c r="I29" s="104">
        <f t="shared" si="0"/>
        <v>797.38016407049111</v>
      </c>
    </row>
    <row r="30" spans="1:9" x14ac:dyDescent="0.35">
      <c r="A30" s="23">
        <v>4</v>
      </c>
      <c r="B30" s="100">
        <v>143</v>
      </c>
      <c r="C30" s="17">
        <v>4</v>
      </c>
      <c r="D30" s="22" t="s">
        <v>55</v>
      </c>
      <c r="E30" s="101">
        <v>871204.41</v>
      </c>
      <c r="F30" s="102">
        <v>280661.95</v>
      </c>
      <c r="G30" s="102">
        <v>590542.46</v>
      </c>
      <c r="H30" s="103">
        <v>2868.39</v>
      </c>
      <c r="I30" s="104">
        <f t="shared" si="0"/>
        <v>205.87941667625392</v>
      </c>
    </row>
    <row r="31" spans="1:9" x14ac:dyDescent="0.35">
      <c r="A31" s="23">
        <v>4</v>
      </c>
      <c r="B31" s="100">
        <v>183</v>
      </c>
      <c r="C31" s="17">
        <v>4</v>
      </c>
      <c r="D31" s="22" t="s">
        <v>56</v>
      </c>
      <c r="E31" s="101">
        <v>6984982.6799999997</v>
      </c>
      <c r="F31" s="102">
        <v>345255.24999999994</v>
      </c>
      <c r="G31" s="102">
        <v>6639727.4299999997</v>
      </c>
      <c r="H31" s="103">
        <v>10899.530000000002</v>
      </c>
      <c r="I31" s="104">
        <f t="shared" si="0"/>
        <v>609.17557270818088</v>
      </c>
    </row>
    <row r="32" spans="1:9" x14ac:dyDescent="0.35">
      <c r="A32" s="23">
        <v>4</v>
      </c>
      <c r="B32" s="100">
        <v>186</v>
      </c>
      <c r="C32" s="17">
        <v>4</v>
      </c>
      <c r="D32" s="22" t="s">
        <v>57</v>
      </c>
      <c r="E32" s="101">
        <v>8376518.0300000003</v>
      </c>
      <c r="F32" s="102">
        <v>1283505.8</v>
      </c>
      <c r="G32" s="102">
        <v>7093012.2300000004</v>
      </c>
      <c r="H32" s="103">
        <v>10708.64</v>
      </c>
      <c r="I32" s="104">
        <f t="shared" si="0"/>
        <v>662.36349620493365</v>
      </c>
    </row>
    <row r="33" spans="1:9" x14ac:dyDescent="0.35">
      <c r="A33" s="23">
        <v>4</v>
      </c>
      <c r="B33" s="100">
        <v>190</v>
      </c>
      <c r="C33" s="17">
        <v>4</v>
      </c>
      <c r="D33" s="22" t="s">
        <v>58</v>
      </c>
      <c r="E33" s="101">
        <v>2369996.16</v>
      </c>
      <c r="F33" s="102">
        <v>436295.02999999997</v>
      </c>
      <c r="G33" s="102">
        <v>1933701.1300000001</v>
      </c>
      <c r="H33" s="103">
        <v>3049.19</v>
      </c>
      <c r="I33" s="104">
        <f t="shared" si="0"/>
        <v>634.1687890882497</v>
      </c>
    </row>
    <row r="34" spans="1:9" x14ac:dyDescent="0.35">
      <c r="A34" s="23">
        <v>4</v>
      </c>
      <c r="B34" s="100">
        <v>324</v>
      </c>
      <c r="C34" s="17">
        <v>4</v>
      </c>
      <c r="D34" s="22" t="s">
        <v>59</v>
      </c>
      <c r="E34" s="101">
        <v>4457265.8099999996</v>
      </c>
      <c r="F34" s="102">
        <v>744094.01</v>
      </c>
      <c r="G34" s="102">
        <v>3713171.8</v>
      </c>
      <c r="H34" s="103">
        <v>7376.43</v>
      </c>
      <c r="I34" s="104">
        <f t="shared" si="0"/>
        <v>503.38331686195079</v>
      </c>
    </row>
    <row r="35" spans="1:9" x14ac:dyDescent="0.35">
      <c r="A35" s="23">
        <v>4</v>
      </c>
      <c r="B35" s="100">
        <v>429</v>
      </c>
      <c r="C35" s="17">
        <v>4</v>
      </c>
      <c r="D35" s="22" t="s">
        <v>60</v>
      </c>
      <c r="E35" s="101">
        <v>1615598.05</v>
      </c>
      <c r="F35" s="102">
        <v>324593.48</v>
      </c>
      <c r="G35" s="102">
        <v>1291004.57</v>
      </c>
      <c r="H35" s="103">
        <v>4180.4643999999998</v>
      </c>
      <c r="I35" s="104">
        <f t="shared" si="0"/>
        <v>308.81845806413281</v>
      </c>
    </row>
    <row r="36" spans="1:9" x14ac:dyDescent="0.35">
      <c r="A36" s="23">
        <v>4</v>
      </c>
      <c r="B36" s="100">
        <v>601</v>
      </c>
      <c r="C36" s="17">
        <v>4</v>
      </c>
      <c r="D36" s="22" t="s">
        <v>61</v>
      </c>
      <c r="E36" s="101">
        <v>3050653.27</v>
      </c>
      <c r="F36" s="102">
        <v>210627.25999999998</v>
      </c>
      <c r="G36" s="102">
        <v>2840026.0100000002</v>
      </c>
      <c r="H36" s="103">
        <v>5551.27</v>
      </c>
      <c r="I36" s="104">
        <f t="shared" si="0"/>
        <v>511.59932952279388</v>
      </c>
    </row>
    <row r="37" spans="1:9" x14ac:dyDescent="0.35">
      <c r="A37" s="23">
        <v>4</v>
      </c>
      <c r="B37" s="100">
        <v>760</v>
      </c>
      <c r="C37" s="17">
        <v>4</v>
      </c>
      <c r="D37" s="22" t="s">
        <v>62</v>
      </c>
      <c r="E37" s="101">
        <v>1509097.88</v>
      </c>
      <c r="F37" s="102">
        <v>554553.47</v>
      </c>
      <c r="G37" s="102">
        <v>954544.40999999992</v>
      </c>
      <c r="H37" s="103">
        <v>5012.8599999999997</v>
      </c>
      <c r="I37" s="104">
        <f t="shared" si="0"/>
        <v>190.41912401303847</v>
      </c>
    </row>
    <row r="38" spans="1:9" x14ac:dyDescent="0.35">
      <c r="A38" s="23">
        <v>4</v>
      </c>
      <c r="B38" s="100">
        <v>878</v>
      </c>
      <c r="C38" s="17">
        <v>4</v>
      </c>
      <c r="D38" s="22" t="s">
        <v>345</v>
      </c>
      <c r="E38" s="101">
        <v>3017896.76</v>
      </c>
      <c r="F38" s="102">
        <v>419431.65</v>
      </c>
      <c r="G38" s="102">
        <v>2598465.11</v>
      </c>
      <c r="H38" s="103">
        <v>7393.5</v>
      </c>
      <c r="I38" s="104">
        <f t="shared" si="0"/>
        <v>351.45264218570367</v>
      </c>
    </row>
    <row r="39" spans="1:9" x14ac:dyDescent="0.35">
      <c r="A39" s="23">
        <v>5</v>
      </c>
      <c r="B39" s="100">
        <v>8</v>
      </c>
      <c r="C39" s="17">
        <v>5</v>
      </c>
      <c r="D39" s="22" t="s">
        <v>64</v>
      </c>
      <c r="E39" s="101">
        <v>864369.87</v>
      </c>
      <c r="F39" s="102">
        <v>93052.72</v>
      </c>
      <c r="G39" s="102">
        <v>771317.15</v>
      </c>
      <c r="H39" s="103">
        <v>2075.63</v>
      </c>
      <c r="I39" s="104">
        <f t="shared" si="0"/>
        <v>371.60628339347574</v>
      </c>
    </row>
    <row r="40" spans="1:9" x14ac:dyDescent="0.35">
      <c r="A40" s="23">
        <v>5</v>
      </c>
      <c r="B40" s="100">
        <v>41</v>
      </c>
      <c r="C40" s="17">
        <v>5</v>
      </c>
      <c r="D40" s="22" t="s">
        <v>65</v>
      </c>
      <c r="E40" s="101">
        <v>598036.62</v>
      </c>
      <c r="F40" s="102">
        <v>171251.26000000004</v>
      </c>
      <c r="G40" s="102">
        <v>426785.36</v>
      </c>
      <c r="H40" s="103">
        <v>993.22</v>
      </c>
      <c r="I40" s="104">
        <f t="shared" si="0"/>
        <v>429.69871730331647</v>
      </c>
    </row>
    <row r="41" spans="1:9" x14ac:dyDescent="0.35">
      <c r="A41" s="23">
        <v>5</v>
      </c>
      <c r="B41" s="100">
        <v>56</v>
      </c>
      <c r="C41" s="17">
        <v>5</v>
      </c>
      <c r="D41" s="22" t="s">
        <v>66</v>
      </c>
      <c r="E41" s="101">
        <v>572395.97</v>
      </c>
      <c r="F41" s="102">
        <v>2299.3900000000003</v>
      </c>
      <c r="G41" s="102">
        <v>570096.57999999996</v>
      </c>
      <c r="H41" s="103">
        <v>2867.28</v>
      </c>
      <c r="I41" s="104">
        <f t="shared" si="0"/>
        <v>198.82835997879522</v>
      </c>
    </row>
    <row r="42" spans="1:9" x14ac:dyDescent="0.35">
      <c r="A42" s="23">
        <v>5</v>
      </c>
      <c r="B42" s="100">
        <v>67</v>
      </c>
      <c r="C42" s="17">
        <v>5</v>
      </c>
      <c r="D42" s="22" t="s">
        <v>67</v>
      </c>
      <c r="E42" s="101">
        <v>207963.68</v>
      </c>
      <c r="F42" s="102">
        <v>0</v>
      </c>
      <c r="G42" s="102">
        <v>207963.68</v>
      </c>
      <c r="H42" s="103">
        <v>1347.1733959092533</v>
      </c>
      <c r="I42" s="104">
        <f t="shared" si="0"/>
        <v>154.37038812634674</v>
      </c>
    </row>
    <row r="43" spans="1:9" x14ac:dyDescent="0.35">
      <c r="A43" s="23">
        <v>5</v>
      </c>
      <c r="B43" s="100">
        <v>157</v>
      </c>
      <c r="C43" s="17">
        <v>5</v>
      </c>
      <c r="D43" s="22" t="s">
        <v>68</v>
      </c>
      <c r="E43" s="101">
        <v>154392.98000000001</v>
      </c>
      <c r="F43" s="102">
        <v>250</v>
      </c>
      <c r="G43" s="102">
        <v>154142.98000000001</v>
      </c>
      <c r="H43" s="103">
        <v>391.46461159743643</v>
      </c>
      <c r="I43" s="104">
        <f t="shared" si="0"/>
        <v>393.75967950460182</v>
      </c>
    </row>
    <row r="44" spans="1:9" x14ac:dyDescent="0.35">
      <c r="A44" s="23">
        <v>5</v>
      </c>
      <c r="B44" s="100">
        <v>214</v>
      </c>
      <c r="C44" s="17">
        <v>5</v>
      </c>
      <c r="D44" s="22" t="s">
        <v>69</v>
      </c>
      <c r="E44" s="101">
        <v>1755275.05</v>
      </c>
      <c r="F44" s="102">
        <v>255085.94</v>
      </c>
      <c r="G44" s="102">
        <v>1500189.11</v>
      </c>
      <c r="H44" s="103">
        <v>2751.6000000000004</v>
      </c>
      <c r="I44" s="104">
        <f t="shared" si="0"/>
        <v>545.2061019043465</v>
      </c>
    </row>
    <row r="45" spans="1:9" x14ac:dyDescent="0.35">
      <c r="A45" s="23">
        <v>5</v>
      </c>
      <c r="B45" s="100">
        <v>223</v>
      </c>
      <c r="C45" s="17">
        <v>5</v>
      </c>
      <c r="D45" s="22" t="s">
        <v>70</v>
      </c>
      <c r="E45" s="101">
        <v>230639.28</v>
      </c>
      <c r="F45" s="102">
        <v>800.41</v>
      </c>
      <c r="G45" s="102">
        <v>229838.87</v>
      </c>
      <c r="H45" s="103">
        <v>273.99</v>
      </c>
      <c r="I45" s="104">
        <f t="shared" si="0"/>
        <v>838.85860797839337</v>
      </c>
    </row>
    <row r="46" spans="1:9" x14ac:dyDescent="0.35">
      <c r="A46" s="23">
        <v>5</v>
      </c>
      <c r="B46" s="100">
        <v>224</v>
      </c>
      <c r="C46" s="17">
        <v>5</v>
      </c>
      <c r="D46" s="22" t="s">
        <v>71</v>
      </c>
      <c r="E46" s="101">
        <v>77631.63</v>
      </c>
      <c r="F46" s="102">
        <v>210</v>
      </c>
      <c r="G46" s="102">
        <v>77421.63</v>
      </c>
      <c r="H46" s="103">
        <v>196.82810451351673</v>
      </c>
      <c r="I46" s="104">
        <f t="shared" si="0"/>
        <v>393.34641864969666</v>
      </c>
    </row>
    <row r="47" spans="1:9" x14ac:dyDescent="0.35">
      <c r="A47" s="23">
        <v>5</v>
      </c>
      <c r="B47" s="100">
        <v>233</v>
      </c>
      <c r="C47" s="17">
        <v>5</v>
      </c>
      <c r="D47" s="22" t="s">
        <v>72</v>
      </c>
      <c r="E47" s="101">
        <v>703293.56</v>
      </c>
      <c r="F47" s="102">
        <v>171134.77</v>
      </c>
      <c r="G47" s="102">
        <v>532158.79</v>
      </c>
      <c r="H47" s="103">
        <v>2130.7600000000002</v>
      </c>
      <c r="I47" s="104">
        <f t="shared" si="0"/>
        <v>249.7506945878466</v>
      </c>
    </row>
    <row r="48" spans="1:9" x14ac:dyDescent="0.35">
      <c r="A48" s="23">
        <v>5</v>
      </c>
      <c r="B48" s="100">
        <v>272</v>
      </c>
      <c r="C48" s="17">
        <v>5</v>
      </c>
      <c r="D48" s="22" t="s">
        <v>73</v>
      </c>
      <c r="E48" s="101">
        <v>96048.45</v>
      </c>
      <c r="F48" s="102">
        <v>0</v>
      </c>
      <c r="G48" s="102">
        <v>96048.45</v>
      </c>
      <c r="H48" s="103">
        <v>311.79011619626056</v>
      </c>
      <c r="I48" s="104">
        <f t="shared" si="0"/>
        <v>308.05482602130013</v>
      </c>
    </row>
    <row r="49" spans="1:9" x14ac:dyDescent="0.35">
      <c r="A49" s="23">
        <v>5</v>
      </c>
      <c r="B49" s="100">
        <v>427</v>
      </c>
      <c r="C49" s="17">
        <v>5</v>
      </c>
      <c r="D49" s="22" t="s">
        <v>74</v>
      </c>
      <c r="E49" s="101">
        <v>207168.59</v>
      </c>
      <c r="F49" s="102">
        <v>41727.25</v>
      </c>
      <c r="G49" s="102">
        <v>165441.34</v>
      </c>
      <c r="H49" s="103">
        <v>437.80999999999989</v>
      </c>
      <c r="I49" s="104">
        <f t="shared" si="0"/>
        <v>377.88387656746085</v>
      </c>
    </row>
    <row r="50" spans="1:9" x14ac:dyDescent="0.35">
      <c r="A50" s="23">
        <v>5</v>
      </c>
      <c r="B50" s="100">
        <v>524</v>
      </c>
      <c r="C50" s="17">
        <v>5</v>
      </c>
      <c r="D50" s="22" t="s">
        <v>75</v>
      </c>
      <c r="E50" s="101">
        <v>318123.49</v>
      </c>
      <c r="F50" s="102">
        <v>89207.8</v>
      </c>
      <c r="G50" s="102">
        <v>228915.69</v>
      </c>
      <c r="H50" s="103">
        <v>482.90262956638958</v>
      </c>
      <c r="I50" s="104">
        <f t="shared" si="0"/>
        <v>474.04109231202398</v>
      </c>
    </row>
    <row r="51" spans="1:9" x14ac:dyDescent="0.35">
      <c r="A51" s="23">
        <v>5</v>
      </c>
      <c r="B51" s="100">
        <v>565</v>
      </c>
      <c r="C51" s="17">
        <v>5</v>
      </c>
      <c r="D51" s="22" t="s">
        <v>76</v>
      </c>
      <c r="E51" s="101">
        <v>273760.90999999997</v>
      </c>
      <c r="F51" s="102">
        <v>88951.02</v>
      </c>
      <c r="G51" s="102">
        <v>184809.88999999996</v>
      </c>
      <c r="H51" s="103">
        <v>483.48174802310336</v>
      </c>
      <c r="I51" s="104">
        <f t="shared" si="0"/>
        <v>382.2479147468639</v>
      </c>
    </row>
    <row r="52" spans="1:9" x14ac:dyDescent="0.35">
      <c r="A52" s="23">
        <v>5</v>
      </c>
      <c r="B52" s="100">
        <v>613</v>
      </c>
      <c r="C52" s="17">
        <v>5</v>
      </c>
      <c r="D52" s="22" t="s">
        <v>77</v>
      </c>
      <c r="E52" s="101">
        <v>69874.64</v>
      </c>
      <c r="F52" s="102">
        <v>0</v>
      </c>
      <c r="G52" s="102">
        <v>69874.64</v>
      </c>
      <c r="H52" s="103">
        <v>131.44881180778847</v>
      </c>
      <c r="I52" s="104">
        <f t="shared" si="0"/>
        <v>531.57300578855336</v>
      </c>
    </row>
    <row r="53" spans="1:9" x14ac:dyDescent="0.35">
      <c r="A53" s="23">
        <v>5</v>
      </c>
      <c r="B53" s="100">
        <v>696</v>
      </c>
      <c r="C53" s="17">
        <v>5</v>
      </c>
      <c r="D53" s="22" t="s">
        <v>78</v>
      </c>
      <c r="E53" s="101">
        <v>129470.73</v>
      </c>
      <c r="F53" s="102">
        <v>201.75</v>
      </c>
      <c r="G53" s="102">
        <v>129268.98</v>
      </c>
      <c r="H53" s="103">
        <v>255.58264483294207</v>
      </c>
      <c r="I53" s="104">
        <f t="shared" si="0"/>
        <v>505.78152551983652</v>
      </c>
    </row>
    <row r="54" spans="1:9" x14ac:dyDescent="0.35">
      <c r="A54" s="23">
        <v>5</v>
      </c>
      <c r="B54" s="100">
        <v>731</v>
      </c>
      <c r="C54" s="17">
        <v>5</v>
      </c>
      <c r="D54" s="22" t="s">
        <v>79</v>
      </c>
      <c r="E54" s="101">
        <v>268966.73</v>
      </c>
      <c r="F54" s="102">
        <v>41367.85</v>
      </c>
      <c r="G54" s="102">
        <v>227598.87999999998</v>
      </c>
      <c r="H54" s="103">
        <v>1049.3999999999999</v>
      </c>
      <c r="I54" s="104">
        <f t="shared" si="0"/>
        <v>216.88477225080999</v>
      </c>
    </row>
    <row r="55" spans="1:9" x14ac:dyDescent="0.35">
      <c r="A55" s="23">
        <v>5</v>
      </c>
      <c r="B55" s="100">
        <v>732</v>
      </c>
      <c r="C55" s="17">
        <v>5</v>
      </c>
      <c r="D55" s="22" t="s">
        <v>80</v>
      </c>
      <c r="E55" s="101">
        <v>70626.64</v>
      </c>
      <c r="F55" s="102">
        <v>0</v>
      </c>
      <c r="G55" s="102">
        <v>70626.64</v>
      </c>
      <c r="H55" s="103">
        <v>190.20939315714199</v>
      </c>
      <c r="I55" s="104">
        <f t="shared" si="0"/>
        <v>371.3099486188446</v>
      </c>
    </row>
    <row r="56" spans="1:9" x14ac:dyDescent="0.35">
      <c r="A56" s="23">
        <v>5</v>
      </c>
      <c r="B56" s="100">
        <v>754</v>
      </c>
      <c r="C56" s="17">
        <v>5</v>
      </c>
      <c r="D56" s="22" t="s">
        <v>81</v>
      </c>
      <c r="E56" s="101">
        <v>35014.82</v>
      </c>
      <c r="F56" s="102">
        <v>0</v>
      </c>
      <c r="G56" s="102">
        <v>35014.82</v>
      </c>
      <c r="H56" s="103">
        <v>100.39736101583898</v>
      </c>
      <c r="I56" s="104">
        <f t="shared" si="0"/>
        <v>348.762354365828</v>
      </c>
    </row>
    <row r="57" spans="1:9" x14ac:dyDescent="0.35">
      <c r="A57" s="23">
        <v>5</v>
      </c>
      <c r="B57" s="100">
        <v>885</v>
      </c>
      <c r="C57" s="17">
        <v>5</v>
      </c>
      <c r="D57" s="22" t="s">
        <v>82</v>
      </c>
      <c r="E57" s="101">
        <v>146152.16</v>
      </c>
      <c r="F57" s="102">
        <v>0</v>
      </c>
      <c r="G57" s="102">
        <v>146152.16</v>
      </c>
      <c r="H57" s="103">
        <v>441.47999999999996</v>
      </c>
      <c r="I57" s="104">
        <f t="shared" si="0"/>
        <v>331.05046661230409</v>
      </c>
    </row>
    <row r="58" spans="1:9" x14ac:dyDescent="0.35">
      <c r="A58" s="23">
        <v>5</v>
      </c>
      <c r="B58" s="100">
        <v>909</v>
      </c>
      <c r="C58" s="17">
        <v>5</v>
      </c>
      <c r="D58" s="22" t="s">
        <v>83</v>
      </c>
      <c r="E58" s="101">
        <v>200038.02</v>
      </c>
      <c r="F58" s="102">
        <v>620.13</v>
      </c>
      <c r="G58" s="102">
        <v>199417.88999999998</v>
      </c>
      <c r="H58" s="103">
        <v>447.85999999999996</v>
      </c>
      <c r="I58" s="104">
        <f t="shared" si="0"/>
        <v>445.26836511409817</v>
      </c>
    </row>
    <row r="59" spans="1:9" x14ac:dyDescent="0.35">
      <c r="A59" s="23">
        <v>5</v>
      </c>
      <c r="B59" s="100">
        <v>923</v>
      </c>
      <c r="C59" s="17">
        <v>5</v>
      </c>
      <c r="D59" s="22" t="s">
        <v>84</v>
      </c>
      <c r="E59" s="101">
        <v>31192.39</v>
      </c>
      <c r="F59" s="102">
        <v>84</v>
      </c>
      <c r="G59" s="102">
        <v>31108.39</v>
      </c>
      <c r="H59" s="103">
        <v>44.943349148505419</v>
      </c>
      <c r="I59" s="104">
        <f t="shared" si="0"/>
        <v>692.16893243111815</v>
      </c>
    </row>
    <row r="60" spans="1:9" x14ac:dyDescent="0.35">
      <c r="A60" s="23">
        <v>6</v>
      </c>
      <c r="B60" s="100">
        <v>394</v>
      </c>
      <c r="C60" s="17">
        <v>6</v>
      </c>
      <c r="D60" s="22" t="s">
        <v>85</v>
      </c>
      <c r="E60" s="101">
        <v>421357.69</v>
      </c>
      <c r="F60" s="102">
        <v>25617.809999999998</v>
      </c>
      <c r="G60" s="102">
        <v>395739.88</v>
      </c>
      <c r="H60" s="103">
        <v>594.22</v>
      </c>
      <c r="I60" s="104">
        <f t="shared" si="0"/>
        <v>665.982094173875</v>
      </c>
    </row>
    <row r="61" spans="1:9" x14ac:dyDescent="0.35">
      <c r="A61" s="23">
        <v>6</v>
      </c>
      <c r="B61" s="100">
        <v>414</v>
      </c>
      <c r="C61" s="17">
        <v>6</v>
      </c>
      <c r="D61" s="22" t="s">
        <v>86</v>
      </c>
      <c r="E61" s="101">
        <v>222802.48</v>
      </c>
      <c r="F61" s="102">
        <v>11641.15</v>
      </c>
      <c r="G61" s="102">
        <v>211161.33000000002</v>
      </c>
      <c r="H61" s="103">
        <v>165.57466674439706</v>
      </c>
      <c r="I61" s="104">
        <f t="shared" si="0"/>
        <v>1275.3239016085506</v>
      </c>
    </row>
    <row r="62" spans="1:9" x14ac:dyDescent="0.35">
      <c r="A62" s="23">
        <v>6</v>
      </c>
      <c r="B62" s="100">
        <v>426</v>
      </c>
      <c r="C62" s="17">
        <v>6</v>
      </c>
      <c r="D62" s="22" t="s">
        <v>87</v>
      </c>
      <c r="E62" s="101">
        <v>170973.35</v>
      </c>
      <c r="F62" s="102">
        <v>420</v>
      </c>
      <c r="G62" s="102">
        <v>170553.35</v>
      </c>
      <c r="H62" s="103">
        <v>463.46518252947482</v>
      </c>
      <c r="I62" s="104">
        <f t="shared" si="0"/>
        <v>367.9960360110835</v>
      </c>
    </row>
    <row r="63" spans="1:9" x14ac:dyDescent="0.35">
      <c r="A63" s="23">
        <v>6</v>
      </c>
      <c r="B63" s="100">
        <v>430</v>
      </c>
      <c r="C63" s="17">
        <v>6</v>
      </c>
      <c r="D63" s="22" t="s">
        <v>88</v>
      </c>
      <c r="E63" s="101">
        <v>1748413.46</v>
      </c>
      <c r="F63" s="102">
        <v>480</v>
      </c>
      <c r="G63" s="102">
        <v>1747933.46</v>
      </c>
      <c r="H63" s="103">
        <v>2460.6196060451061</v>
      </c>
      <c r="I63" s="104">
        <f t="shared" si="0"/>
        <v>710.36313605962471</v>
      </c>
    </row>
    <row r="64" spans="1:9" x14ac:dyDescent="0.35">
      <c r="A64" s="23">
        <v>6</v>
      </c>
      <c r="B64" s="100">
        <v>443</v>
      </c>
      <c r="C64" s="17">
        <v>6</v>
      </c>
      <c r="D64" s="22" t="s">
        <v>89</v>
      </c>
      <c r="E64" s="101">
        <v>15830.2</v>
      </c>
      <c r="F64" s="102">
        <v>0</v>
      </c>
      <c r="G64" s="102">
        <v>15830.2</v>
      </c>
      <c r="H64" s="103">
        <v>15.06</v>
      </c>
      <c r="I64" s="104">
        <f t="shared" si="0"/>
        <v>1051.1420982735724</v>
      </c>
    </row>
    <row r="65" spans="1:9" x14ac:dyDescent="0.35">
      <c r="A65" s="23">
        <v>6</v>
      </c>
      <c r="B65" s="100">
        <v>562</v>
      </c>
      <c r="C65" s="17">
        <v>6</v>
      </c>
      <c r="D65" s="22" t="s">
        <v>90</v>
      </c>
      <c r="E65" s="101">
        <v>48863.76</v>
      </c>
      <c r="F65" s="102">
        <v>0</v>
      </c>
      <c r="G65" s="102">
        <v>48863.76</v>
      </c>
      <c r="H65" s="103">
        <v>81.472925896153384</v>
      </c>
      <c r="I65" s="104">
        <f t="shared" si="0"/>
        <v>599.75457444946176</v>
      </c>
    </row>
    <row r="66" spans="1:9" x14ac:dyDescent="0.35">
      <c r="A66" s="23">
        <v>6</v>
      </c>
      <c r="B66" s="100">
        <v>603</v>
      </c>
      <c r="C66" s="17">
        <v>6</v>
      </c>
      <c r="D66" s="22" t="s">
        <v>91</v>
      </c>
      <c r="E66" s="101">
        <v>86512.44</v>
      </c>
      <c r="F66" s="102">
        <v>0</v>
      </c>
      <c r="G66" s="102">
        <v>86512.44</v>
      </c>
      <c r="H66" s="103">
        <v>97.242711867752604</v>
      </c>
      <c r="I66" s="104">
        <f t="shared" si="0"/>
        <v>889.65474469340722</v>
      </c>
    </row>
    <row r="67" spans="1:9" x14ac:dyDescent="0.35">
      <c r="A67" s="23">
        <v>6</v>
      </c>
      <c r="B67" s="100">
        <v>618</v>
      </c>
      <c r="C67" s="17">
        <v>6</v>
      </c>
      <c r="D67" s="22" t="s">
        <v>92</v>
      </c>
      <c r="E67" s="101">
        <v>17288.669999999998</v>
      </c>
      <c r="F67" s="102">
        <v>0</v>
      </c>
      <c r="G67" s="102">
        <v>17288.669999999998</v>
      </c>
      <c r="H67" s="103">
        <v>17.61132857645476</v>
      </c>
      <c r="I67" s="104">
        <f t="shared" si="0"/>
        <v>981.67891905178942</v>
      </c>
    </row>
    <row r="68" spans="1:9" x14ac:dyDescent="0.35">
      <c r="A68" s="23">
        <v>6</v>
      </c>
      <c r="B68" s="100">
        <v>620</v>
      </c>
      <c r="C68" s="17">
        <v>6</v>
      </c>
      <c r="D68" s="22" t="s">
        <v>93</v>
      </c>
      <c r="E68" s="101">
        <v>122866.55</v>
      </c>
      <c r="F68" s="102">
        <v>0</v>
      </c>
      <c r="G68" s="102">
        <v>122866.55</v>
      </c>
      <c r="H68" s="103">
        <v>235.76910512683102</v>
      </c>
      <c r="I68" s="104">
        <f t="shared" si="0"/>
        <v>521.13083236204523</v>
      </c>
    </row>
    <row r="69" spans="1:9" x14ac:dyDescent="0.35">
      <c r="A69" s="23">
        <v>6</v>
      </c>
      <c r="B69" s="100">
        <v>622</v>
      </c>
      <c r="C69" s="17">
        <v>6</v>
      </c>
      <c r="D69" s="22" t="s">
        <v>94</v>
      </c>
      <c r="E69" s="101">
        <v>83536.710000000006</v>
      </c>
      <c r="F69" s="102">
        <v>396</v>
      </c>
      <c r="G69" s="102">
        <v>83140.710000000006</v>
      </c>
      <c r="H69" s="103">
        <v>122.59818725735381</v>
      </c>
      <c r="I69" s="104">
        <f t="shared" ref="I69:I132" si="1">IFERROR(G69/H69,0)</f>
        <v>678.15611192907727</v>
      </c>
    </row>
    <row r="70" spans="1:9" x14ac:dyDescent="0.35">
      <c r="A70" s="23">
        <v>6</v>
      </c>
      <c r="B70" s="100">
        <v>623</v>
      </c>
      <c r="C70" s="17">
        <v>6</v>
      </c>
      <c r="D70" s="22" t="s">
        <v>95</v>
      </c>
      <c r="E70" s="101">
        <v>79811.240000000005</v>
      </c>
      <c r="F70" s="102">
        <v>0</v>
      </c>
      <c r="G70" s="102">
        <v>79811.240000000005</v>
      </c>
      <c r="H70" s="103">
        <v>230.09002718232705</v>
      </c>
      <c r="I70" s="104">
        <f t="shared" si="1"/>
        <v>346.86961871996431</v>
      </c>
    </row>
    <row r="71" spans="1:9" x14ac:dyDescent="0.35">
      <c r="A71" s="23">
        <v>6</v>
      </c>
      <c r="B71" s="100">
        <v>626</v>
      </c>
      <c r="C71" s="17">
        <v>6</v>
      </c>
      <c r="D71" s="22" t="s">
        <v>96</v>
      </c>
      <c r="E71" s="101">
        <v>17900.14</v>
      </c>
      <c r="F71" s="102">
        <v>0</v>
      </c>
      <c r="G71" s="102">
        <v>17900.14</v>
      </c>
      <c r="H71" s="103">
        <v>21.510599845182803</v>
      </c>
      <c r="I71" s="104">
        <f t="shared" si="1"/>
        <v>832.15438569039497</v>
      </c>
    </row>
    <row r="72" spans="1:9" x14ac:dyDescent="0.35">
      <c r="A72" s="23">
        <v>6</v>
      </c>
      <c r="B72" s="100">
        <v>627</v>
      </c>
      <c r="C72" s="17">
        <v>6</v>
      </c>
      <c r="D72" s="22" t="s">
        <v>97</v>
      </c>
      <c r="E72" s="101">
        <v>81020.789999999994</v>
      </c>
      <c r="F72" s="102">
        <v>0</v>
      </c>
      <c r="G72" s="102">
        <v>81020.789999999994</v>
      </c>
      <c r="H72" s="103">
        <v>166.68530619268788</v>
      </c>
      <c r="I72" s="104">
        <f t="shared" si="1"/>
        <v>486.07037927110457</v>
      </c>
    </row>
    <row r="73" spans="1:9" x14ac:dyDescent="0.35">
      <c r="A73" s="23">
        <v>6</v>
      </c>
      <c r="B73" s="100">
        <v>634</v>
      </c>
      <c r="C73" s="17">
        <v>6</v>
      </c>
      <c r="D73" s="22" t="s">
        <v>98</v>
      </c>
      <c r="E73" s="101">
        <v>651840.68999999994</v>
      </c>
      <c r="F73" s="102">
        <v>0</v>
      </c>
      <c r="G73" s="102">
        <v>651840.68999999994</v>
      </c>
      <c r="H73" s="103">
        <v>627.63252780769471</v>
      </c>
      <c r="I73" s="104">
        <f t="shared" si="1"/>
        <v>1038.5705984310018</v>
      </c>
    </row>
    <row r="74" spans="1:9" x14ac:dyDescent="0.35">
      <c r="A74" s="23">
        <v>6</v>
      </c>
      <c r="B74" s="100">
        <v>636</v>
      </c>
      <c r="C74" s="17">
        <v>6</v>
      </c>
      <c r="D74" s="22" t="s">
        <v>346</v>
      </c>
      <c r="E74" s="101">
        <v>82605.94</v>
      </c>
      <c r="F74" s="102">
        <v>76356</v>
      </c>
      <c r="G74" s="102">
        <v>6249.9400000000023</v>
      </c>
      <c r="H74" s="103">
        <v>71.040896564249138</v>
      </c>
      <c r="I74" s="104">
        <f t="shared" si="1"/>
        <v>87.976648694848308</v>
      </c>
    </row>
    <row r="75" spans="1:9" x14ac:dyDescent="0.35">
      <c r="A75" s="23">
        <v>6</v>
      </c>
      <c r="B75" s="100">
        <v>641</v>
      </c>
      <c r="C75" s="17">
        <v>6</v>
      </c>
      <c r="D75" s="22" t="s">
        <v>100</v>
      </c>
      <c r="E75" s="101">
        <v>28951.200000000001</v>
      </c>
      <c r="F75" s="102">
        <v>0</v>
      </c>
      <c r="G75" s="102">
        <v>28951.200000000001</v>
      </c>
      <c r="H75" s="103">
        <v>7.6885978325592479</v>
      </c>
      <c r="I75" s="104">
        <f t="shared" si="1"/>
        <v>3765.4720184997923</v>
      </c>
    </row>
    <row r="76" spans="1:9" x14ac:dyDescent="0.35">
      <c r="A76" s="23">
        <v>6</v>
      </c>
      <c r="B76" s="100">
        <v>694</v>
      </c>
      <c r="C76" s="17">
        <v>6</v>
      </c>
      <c r="D76" s="22" t="s">
        <v>103</v>
      </c>
      <c r="E76" s="101">
        <v>89610.08</v>
      </c>
      <c r="F76" s="102">
        <v>0</v>
      </c>
      <c r="G76" s="102">
        <v>89610.08</v>
      </c>
      <c r="H76" s="103">
        <v>13.652301912467729</v>
      </c>
      <c r="I76" s="104">
        <f t="shared" si="1"/>
        <v>6563.7341288332582</v>
      </c>
    </row>
    <row r="77" spans="1:9" x14ac:dyDescent="0.35">
      <c r="A77" s="23">
        <v>6</v>
      </c>
      <c r="B77" s="100">
        <v>710</v>
      </c>
      <c r="C77" s="17">
        <v>6</v>
      </c>
      <c r="D77" s="22" t="s">
        <v>105</v>
      </c>
      <c r="E77" s="101">
        <v>68111.539999999994</v>
      </c>
      <c r="F77" s="102">
        <v>0</v>
      </c>
      <c r="G77" s="102">
        <v>68111.539999999994</v>
      </c>
      <c r="H77" s="103">
        <v>69.210000000000008</v>
      </c>
      <c r="I77" s="104">
        <f t="shared" si="1"/>
        <v>984.12859413379545</v>
      </c>
    </row>
    <row r="78" spans="1:9" x14ac:dyDescent="0.35">
      <c r="A78" s="23">
        <v>6</v>
      </c>
      <c r="B78" s="100">
        <v>743</v>
      </c>
      <c r="C78" s="17">
        <v>6</v>
      </c>
      <c r="D78" s="22" t="s">
        <v>347</v>
      </c>
      <c r="E78" s="101">
        <v>137831.6</v>
      </c>
      <c r="F78" s="102">
        <v>0</v>
      </c>
      <c r="G78" s="102">
        <v>137831.6</v>
      </c>
      <c r="H78" s="103">
        <v>71.128633854585487</v>
      </c>
      <c r="I78" s="104">
        <f t="shared" si="1"/>
        <v>1937.7793798455521</v>
      </c>
    </row>
    <row r="79" spans="1:9" x14ac:dyDescent="0.35">
      <c r="A79" s="23">
        <v>6</v>
      </c>
      <c r="B79" s="100">
        <v>747</v>
      </c>
      <c r="C79" s="17">
        <v>6</v>
      </c>
      <c r="D79" s="22" t="s">
        <v>106</v>
      </c>
      <c r="E79" s="101">
        <v>67182.81</v>
      </c>
      <c r="F79" s="102">
        <v>0</v>
      </c>
      <c r="G79" s="102">
        <v>67182.81</v>
      </c>
      <c r="H79" s="103">
        <v>38</v>
      </c>
      <c r="I79" s="104">
        <f t="shared" si="1"/>
        <v>1767.9686842105264</v>
      </c>
    </row>
    <row r="80" spans="1:9" x14ac:dyDescent="0.35">
      <c r="A80" s="23">
        <v>6</v>
      </c>
      <c r="B80" s="100">
        <v>758</v>
      </c>
      <c r="C80" s="17">
        <v>6</v>
      </c>
      <c r="D80" s="22" t="s">
        <v>107</v>
      </c>
      <c r="E80" s="101">
        <v>340319.42</v>
      </c>
      <c r="F80" s="102">
        <v>142.1</v>
      </c>
      <c r="G80" s="102">
        <v>340177.32</v>
      </c>
      <c r="H80" s="103">
        <v>242.43754918347622</v>
      </c>
      <c r="I80" s="104">
        <f t="shared" si="1"/>
        <v>1403.1544253178147</v>
      </c>
    </row>
    <row r="81" spans="1:9" x14ac:dyDescent="0.35">
      <c r="A81" s="23">
        <v>6</v>
      </c>
      <c r="B81" s="100">
        <v>765</v>
      </c>
      <c r="C81" s="17">
        <v>6</v>
      </c>
      <c r="D81" s="22" t="s">
        <v>108</v>
      </c>
      <c r="E81" s="101">
        <v>83939.95</v>
      </c>
      <c r="F81" s="102">
        <v>0</v>
      </c>
      <c r="G81" s="102">
        <v>83939.95</v>
      </c>
      <c r="H81" s="103">
        <v>86.906400000000005</v>
      </c>
      <c r="I81" s="104">
        <f t="shared" si="1"/>
        <v>965.86615024900345</v>
      </c>
    </row>
    <row r="82" spans="1:9" x14ac:dyDescent="0.35">
      <c r="A82" s="23">
        <v>6</v>
      </c>
      <c r="B82" s="100">
        <v>770</v>
      </c>
      <c r="C82" s="17">
        <v>6</v>
      </c>
      <c r="D82" s="22" t="s">
        <v>109</v>
      </c>
      <c r="E82" s="101">
        <v>30839.79</v>
      </c>
      <c r="F82" s="102">
        <v>0</v>
      </c>
      <c r="G82" s="102">
        <v>30839.79</v>
      </c>
      <c r="H82" s="103">
        <v>26.529705367571449</v>
      </c>
      <c r="I82" s="104">
        <f t="shared" si="1"/>
        <v>1162.4625894902315</v>
      </c>
    </row>
    <row r="83" spans="1:9" x14ac:dyDescent="0.35">
      <c r="A83" s="23">
        <v>6</v>
      </c>
      <c r="B83" s="100">
        <v>774</v>
      </c>
      <c r="C83" s="17">
        <v>6</v>
      </c>
      <c r="D83" s="22" t="s">
        <v>110</v>
      </c>
      <c r="E83" s="101">
        <v>291174.90000000002</v>
      </c>
      <c r="F83" s="102">
        <v>0</v>
      </c>
      <c r="G83" s="102">
        <v>291174.90000000002</v>
      </c>
      <c r="H83" s="103">
        <v>357.53110369632333</v>
      </c>
      <c r="I83" s="104">
        <f t="shared" si="1"/>
        <v>814.40438884812556</v>
      </c>
    </row>
    <row r="84" spans="1:9" x14ac:dyDescent="0.35">
      <c r="A84" s="23">
        <v>6</v>
      </c>
      <c r="B84" s="100">
        <v>794</v>
      </c>
      <c r="C84" s="17">
        <v>6</v>
      </c>
      <c r="D84" s="22" t="s">
        <v>111</v>
      </c>
      <c r="E84" s="101">
        <v>44067.08</v>
      </c>
      <c r="F84" s="102">
        <v>0</v>
      </c>
      <c r="G84" s="102">
        <v>44067.08</v>
      </c>
      <c r="H84" s="103">
        <v>19.658346730975349</v>
      </c>
      <c r="I84" s="104">
        <f t="shared" si="1"/>
        <v>2241.6473065135328</v>
      </c>
    </row>
    <row r="85" spans="1:9" x14ac:dyDescent="0.35">
      <c r="A85" s="23">
        <v>6</v>
      </c>
      <c r="B85" s="100">
        <v>806</v>
      </c>
      <c r="C85" s="17">
        <v>6</v>
      </c>
      <c r="D85" s="22" t="s">
        <v>112</v>
      </c>
      <c r="E85" s="101">
        <v>39624.269999999997</v>
      </c>
      <c r="F85" s="102">
        <v>0</v>
      </c>
      <c r="G85" s="102">
        <v>39624.269999999997</v>
      </c>
      <c r="H85" s="103">
        <v>28</v>
      </c>
      <c r="I85" s="104">
        <f t="shared" si="1"/>
        <v>1415.1524999999999</v>
      </c>
    </row>
    <row r="86" spans="1:9" x14ac:dyDescent="0.35">
      <c r="A86" s="23">
        <v>6</v>
      </c>
      <c r="B86" s="100">
        <v>811</v>
      </c>
      <c r="C86" s="17">
        <v>6</v>
      </c>
      <c r="D86" s="22" t="s">
        <v>113</v>
      </c>
      <c r="E86" s="101">
        <v>508959.18</v>
      </c>
      <c r="F86" s="102">
        <v>7228.6</v>
      </c>
      <c r="G86" s="102">
        <v>501730.58</v>
      </c>
      <c r="H86" s="103">
        <v>586.72493379030573</v>
      </c>
      <c r="I86" s="104">
        <f t="shared" si="1"/>
        <v>855.13764816294224</v>
      </c>
    </row>
    <row r="87" spans="1:9" x14ac:dyDescent="0.35">
      <c r="A87" s="23">
        <v>6</v>
      </c>
      <c r="B87" s="100">
        <v>824</v>
      </c>
      <c r="C87" s="17">
        <v>6</v>
      </c>
      <c r="D87" s="22" t="s">
        <v>114</v>
      </c>
      <c r="E87" s="101">
        <v>64105.83</v>
      </c>
      <c r="F87" s="102">
        <v>0</v>
      </c>
      <c r="G87" s="102">
        <v>64105.83</v>
      </c>
      <c r="H87" s="103">
        <v>33.61</v>
      </c>
      <c r="I87" s="104">
        <f t="shared" si="1"/>
        <v>1907.3439452543887</v>
      </c>
    </row>
    <row r="88" spans="1:9" x14ac:dyDescent="0.35">
      <c r="A88" s="23">
        <v>6</v>
      </c>
      <c r="B88" s="100">
        <v>826</v>
      </c>
      <c r="C88" s="17">
        <v>6</v>
      </c>
      <c r="D88" s="22" t="s">
        <v>115</v>
      </c>
      <c r="E88" s="101">
        <v>36328.44</v>
      </c>
      <c r="F88" s="102">
        <v>0</v>
      </c>
      <c r="G88" s="102">
        <v>36328.44</v>
      </c>
      <c r="H88" s="103">
        <v>39.180399999999999</v>
      </c>
      <c r="I88" s="104">
        <f t="shared" si="1"/>
        <v>927.20952312891143</v>
      </c>
    </row>
    <row r="89" spans="1:9" x14ac:dyDescent="0.35">
      <c r="A89" s="23">
        <v>6</v>
      </c>
      <c r="B89" s="100">
        <v>840</v>
      </c>
      <c r="C89" s="17">
        <v>6</v>
      </c>
      <c r="D89" s="22" t="s">
        <v>116</v>
      </c>
      <c r="E89" s="101">
        <v>115261.04</v>
      </c>
      <c r="F89" s="102">
        <v>0</v>
      </c>
      <c r="G89" s="102">
        <v>115261.04</v>
      </c>
      <c r="H89" s="103">
        <v>138.55202775991427</v>
      </c>
      <c r="I89" s="104">
        <f t="shared" si="1"/>
        <v>831.89717150676881</v>
      </c>
    </row>
    <row r="90" spans="1:9" x14ac:dyDescent="0.35">
      <c r="A90" s="23">
        <v>6</v>
      </c>
      <c r="B90" s="100">
        <v>843</v>
      </c>
      <c r="C90" s="17">
        <v>6</v>
      </c>
      <c r="D90" s="22" t="s">
        <v>117</v>
      </c>
      <c r="E90" s="101">
        <v>32653.86</v>
      </c>
      <c r="F90" s="102">
        <v>0</v>
      </c>
      <c r="G90" s="102">
        <v>32653.86</v>
      </c>
      <c r="H90" s="103">
        <v>24.72</v>
      </c>
      <c r="I90" s="104">
        <f t="shared" si="1"/>
        <v>1320.9490291262136</v>
      </c>
    </row>
    <row r="91" spans="1:9" x14ac:dyDescent="0.35">
      <c r="A91" s="23">
        <v>6</v>
      </c>
      <c r="B91" s="100">
        <v>846</v>
      </c>
      <c r="C91" s="17">
        <v>6</v>
      </c>
      <c r="D91" s="22" t="s">
        <v>291</v>
      </c>
      <c r="E91" s="101">
        <v>35434.99</v>
      </c>
      <c r="F91" s="102">
        <v>0</v>
      </c>
      <c r="G91" s="102">
        <v>35434.99</v>
      </c>
      <c r="H91" s="103">
        <v>24.695999999999998</v>
      </c>
      <c r="I91" s="104">
        <f t="shared" si="1"/>
        <v>1434.8473436993845</v>
      </c>
    </row>
    <row r="92" spans="1:9" x14ac:dyDescent="0.35">
      <c r="A92" s="23">
        <v>6</v>
      </c>
      <c r="B92" s="100">
        <v>888</v>
      </c>
      <c r="C92" s="17">
        <v>6</v>
      </c>
      <c r="D92" s="22" t="s">
        <v>118</v>
      </c>
      <c r="E92" s="101">
        <v>49302.5</v>
      </c>
      <c r="F92" s="102">
        <v>0</v>
      </c>
      <c r="G92" s="102">
        <v>49302.5</v>
      </c>
      <c r="H92" s="103">
        <v>103.64754100869358</v>
      </c>
      <c r="I92" s="104">
        <f t="shared" si="1"/>
        <v>475.67457481566964</v>
      </c>
    </row>
    <row r="93" spans="1:9" x14ac:dyDescent="0.35">
      <c r="A93" s="23">
        <v>6</v>
      </c>
      <c r="B93" s="100">
        <v>889</v>
      </c>
      <c r="C93" s="17">
        <v>6</v>
      </c>
      <c r="D93" s="22" t="s">
        <v>119</v>
      </c>
      <c r="E93" s="101">
        <v>52828.79</v>
      </c>
      <c r="F93" s="102">
        <v>0</v>
      </c>
      <c r="G93" s="102">
        <v>52828.79</v>
      </c>
      <c r="H93" s="103">
        <v>36.258728414910088</v>
      </c>
      <c r="I93" s="104">
        <f t="shared" si="1"/>
        <v>1456.9951101284644</v>
      </c>
    </row>
    <row r="94" spans="1:9" x14ac:dyDescent="0.35">
      <c r="A94" s="23">
        <v>6</v>
      </c>
      <c r="B94" s="100">
        <v>891</v>
      </c>
      <c r="C94" s="17">
        <v>6</v>
      </c>
      <c r="D94" s="22" t="s">
        <v>120</v>
      </c>
      <c r="E94" s="101">
        <v>101210.64</v>
      </c>
      <c r="F94" s="102">
        <v>0</v>
      </c>
      <c r="G94" s="102">
        <v>101210.64</v>
      </c>
      <c r="H94" s="103">
        <v>291.1434394945195</v>
      </c>
      <c r="I94" s="104">
        <f t="shared" si="1"/>
        <v>347.63153233238216</v>
      </c>
    </row>
    <row r="95" spans="1:9" x14ac:dyDescent="0.35">
      <c r="A95" s="23">
        <v>6</v>
      </c>
      <c r="B95" s="100">
        <v>904</v>
      </c>
      <c r="C95" s="17">
        <v>6</v>
      </c>
      <c r="D95" s="22" t="s">
        <v>121</v>
      </c>
      <c r="E95" s="101">
        <v>14117.02</v>
      </c>
      <c r="F95" s="102">
        <v>0</v>
      </c>
      <c r="G95" s="102">
        <v>14117.02</v>
      </c>
      <c r="H95" s="103">
        <v>23.64144748103287</v>
      </c>
      <c r="I95" s="104">
        <f t="shared" si="1"/>
        <v>597.13010429356518</v>
      </c>
    </row>
    <row r="96" spans="1:9" x14ac:dyDescent="0.35">
      <c r="A96" s="23">
        <v>6</v>
      </c>
      <c r="B96" s="100">
        <v>906</v>
      </c>
      <c r="C96" s="17">
        <v>6</v>
      </c>
      <c r="D96" s="22" t="s">
        <v>292</v>
      </c>
      <c r="E96" s="101">
        <v>141116.71</v>
      </c>
      <c r="F96" s="102">
        <v>58.4</v>
      </c>
      <c r="G96" s="102">
        <v>141058.31</v>
      </c>
      <c r="H96" s="103">
        <v>251.9</v>
      </c>
      <c r="I96" s="104">
        <f t="shared" si="1"/>
        <v>559.97741167129811</v>
      </c>
    </row>
    <row r="97" spans="1:9" x14ac:dyDescent="0.35">
      <c r="A97" s="23">
        <v>6</v>
      </c>
      <c r="B97" s="100">
        <v>917</v>
      </c>
      <c r="C97" s="17">
        <v>6</v>
      </c>
      <c r="D97" s="22" t="s">
        <v>293</v>
      </c>
      <c r="E97" s="101">
        <v>59201.33</v>
      </c>
      <c r="F97" s="102">
        <v>0</v>
      </c>
      <c r="G97" s="102">
        <v>59201.33</v>
      </c>
      <c r="H97" s="103">
        <v>188.10307825939799</v>
      </c>
      <c r="I97" s="104">
        <f t="shared" si="1"/>
        <v>314.72812963943181</v>
      </c>
    </row>
    <row r="98" spans="1:9" x14ac:dyDescent="0.35">
      <c r="A98" s="23">
        <v>6</v>
      </c>
      <c r="B98" s="100">
        <v>957</v>
      </c>
      <c r="C98" s="17">
        <v>6</v>
      </c>
      <c r="D98" s="22" t="s">
        <v>122</v>
      </c>
      <c r="E98" s="101">
        <v>40203.24</v>
      </c>
      <c r="F98" s="102">
        <v>0</v>
      </c>
      <c r="G98" s="102">
        <v>40203.24</v>
      </c>
      <c r="H98" s="103">
        <v>101.14874671311182</v>
      </c>
      <c r="I98" s="104">
        <f t="shared" si="1"/>
        <v>397.46651645648603</v>
      </c>
    </row>
    <row r="99" spans="1:9" x14ac:dyDescent="0.35">
      <c r="A99" s="23">
        <v>6</v>
      </c>
      <c r="B99" s="100">
        <v>959</v>
      </c>
      <c r="C99" s="17">
        <v>6</v>
      </c>
      <c r="D99" s="22" t="s">
        <v>123</v>
      </c>
      <c r="E99" s="101">
        <v>123075.62</v>
      </c>
      <c r="F99" s="102">
        <v>0</v>
      </c>
      <c r="G99" s="102">
        <v>123075.62</v>
      </c>
      <c r="H99" s="103">
        <v>330.53645925433352</v>
      </c>
      <c r="I99" s="104">
        <f t="shared" si="1"/>
        <v>372.35111756702952</v>
      </c>
    </row>
    <row r="100" spans="1:9" x14ac:dyDescent="0.35">
      <c r="A100" s="23">
        <v>6</v>
      </c>
      <c r="B100" s="100">
        <v>969</v>
      </c>
      <c r="C100" s="17">
        <v>6</v>
      </c>
      <c r="D100" s="22" t="s">
        <v>294</v>
      </c>
      <c r="E100" s="101">
        <v>87738.63</v>
      </c>
      <c r="F100" s="102">
        <v>0</v>
      </c>
      <c r="G100" s="102">
        <v>87738.63</v>
      </c>
      <c r="H100" s="103">
        <v>20.253027862922973</v>
      </c>
      <c r="I100" s="104">
        <f t="shared" si="1"/>
        <v>4332.124094917298</v>
      </c>
    </row>
    <row r="101" spans="1:9" x14ac:dyDescent="0.35">
      <c r="A101" s="23">
        <v>6</v>
      </c>
      <c r="B101" s="100">
        <v>970</v>
      </c>
      <c r="C101" s="17">
        <v>6</v>
      </c>
      <c r="D101" s="22" t="s">
        <v>124</v>
      </c>
      <c r="E101" s="101">
        <v>73920.09</v>
      </c>
      <c r="F101" s="102">
        <v>161.72</v>
      </c>
      <c r="G101" s="102">
        <v>73758.37</v>
      </c>
      <c r="H101" s="103">
        <v>155.95183681022218</v>
      </c>
      <c r="I101" s="104">
        <f t="shared" si="1"/>
        <v>472.9560838052621</v>
      </c>
    </row>
    <row r="102" spans="1:9" x14ac:dyDescent="0.35">
      <c r="A102" s="23">
        <v>6</v>
      </c>
      <c r="B102" s="100">
        <v>986</v>
      </c>
      <c r="C102" s="17">
        <v>6</v>
      </c>
      <c r="D102" s="22" t="s">
        <v>126</v>
      </c>
      <c r="E102" s="101">
        <v>43562.55</v>
      </c>
      <c r="F102" s="102">
        <v>0</v>
      </c>
      <c r="G102" s="102">
        <v>43562.55</v>
      </c>
      <c r="H102" s="103">
        <v>7.8194298879459128</v>
      </c>
      <c r="I102" s="104">
        <f t="shared" si="1"/>
        <v>5571.0647226537712</v>
      </c>
    </row>
    <row r="103" spans="1:9" x14ac:dyDescent="0.35">
      <c r="A103" s="23">
        <v>6</v>
      </c>
      <c r="B103" s="100">
        <v>988</v>
      </c>
      <c r="C103" s="17">
        <v>6</v>
      </c>
      <c r="D103" s="22" t="s">
        <v>127</v>
      </c>
      <c r="E103" s="101">
        <v>132703.88</v>
      </c>
      <c r="F103" s="102">
        <v>91</v>
      </c>
      <c r="G103" s="102">
        <v>132612.88</v>
      </c>
      <c r="H103" s="103">
        <v>133.20495744908894</v>
      </c>
      <c r="I103" s="104">
        <f t="shared" si="1"/>
        <v>995.55513953513912</v>
      </c>
    </row>
    <row r="104" spans="1:9" x14ac:dyDescent="0.35">
      <c r="A104" s="23">
        <v>6</v>
      </c>
      <c r="B104" s="100">
        <v>989</v>
      </c>
      <c r="C104" s="17">
        <v>6</v>
      </c>
      <c r="D104" s="22" t="s">
        <v>128</v>
      </c>
      <c r="E104" s="101">
        <v>276934.09999999998</v>
      </c>
      <c r="F104" s="102">
        <v>36351.42</v>
      </c>
      <c r="G104" s="102">
        <v>240582.68</v>
      </c>
      <c r="H104" s="103">
        <v>311.67824861466573</v>
      </c>
      <c r="I104" s="104">
        <f t="shared" si="1"/>
        <v>771.89435281201588</v>
      </c>
    </row>
    <row r="105" spans="1:9" x14ac:dyDescent="0.35">
      <c r="A105" s="23">
        <v>6</v>
      </c>
      <c r="B105" s="100">
        <v>39</v>
      </c>
      <c r="C105" s="17">
        <v>7</v>
      </c>
      <c r="D105" s="22" t="s">
        <v>129</v>
      </c>
      <c r="E105" s="101">
        <v>131981.43</v>
      </c>
      <c r="F105" s="102">
        <v>1501.53</v>
      </c>
      <c r="G105" s="102">
        <v>130479.9</v>
      </c>
      <c r="H105" s="103">
        <v>314.39</v>
      </c>
      <c r="I105" s="104">
        <f t="shared" si="1"/>
        <v>415.02560514011259</v>
      </c>
    </row>
    <row r="106" spans="1:9" x14ac:dyDescent="0.35">
      <c r="A106" s="23">
        <v>7</v>
      </c>
      <c r="B106" s="100">
        <v>59</v>
      </c>
      <c r="C106" s="17">
        <v>7</v>
      </c>
      <c r="D106" s="22" t="s">
        <v>130</v>
      </c>
      <c r="E106" s="101">
        <v>176388.86</v>
      </c>
      <c r="F106" s="102">
        <v>0</v>
      </c>
      <c r="G106" s="102">
        <v>176388.86</v>
      </c>
      <c r="H106" s="103">
        <v>199.24752698257859</v>
      </c>
      <c r="I106" s="104">
        <f t="shared" si="1"/>
        <v>885.27502785729791</v>
      </c>
    </row>
    <row r="107" spans="1:9" x14ac:dyDescent="0.35">
      <c r="A107" s="23">
        <v>7</v>
      </c>
      <c r="B107" s="100">
        <v>128</v>
      </c>
      <c r="C107" s="17">
        <v>7</v>
      </c>
      <c r="D107" s="22" t="s">
        <v>131</v>
      </c>
      <c r="E107" s="101">
        <v>94207.63</v>
      </c>
      <c r="F107" s="102">
        <v>265.42</v>
      </c>
      <c r="G107" s="102">
        <v>93942.21</v>
      </c>
      <c r="H107" s="103">
        <v>124.30075709261769</v>
      </c>
      <c r="I107" s="104">
        <f t="shared" si="1"/>
        <v>755.76538870155684</v>
      </c>
    </row>
    <row r="108" spans="1:9" x14ac:dyDescent="0.35">
      <c r="A108" s="23">
        <v>7</v>
      </c>
      <c r="B108" s="100">
        <v>152</v>
      </c>
      <c r="C108" s="17">
        <v>7</v>
      </c>
      <c r="D108" s="22" t="s">
        <v>132</v>
      </c>
      <c r="E108" s="101">
        <v>201392.59</v>
      </c>
      <c r="F108" s="102">
        <v>0</v>
      </c>
      <c r="G108" s="102">
        <v>201392.59</v>
      </c>
      <c r="H108" s="103">
        <v>416.02</v>
      </c>
      <c r="I108" s="104">
        <f t="shared" si="1"/>
        <v>484.09352915725208</v>
      </c>
    </row>
    <row r="109" spans="1:9" x14ac:dyDescent="0.35">
      <c r="A109" s="23">
        <v>7</v>
      </c>
      <c r="B109" s="100">
        <v>162</v>
      </c>
      <c r="C109" s="17">
        <v>7</v>
      </c>
      <c r="D109" s="22" t="s">
        <v>133</v>
      </c>
      <c r="E109" s="101">
        <v>406976.46</v>
      </c>
      <c r="F109" s="102">
        <v>20849.919999999998</v>
      </c>
      <c r="G109" s="102">
        <v>386126.54000000004</v>
      </c>
      <c r="H109" s="103">
        <v>817.57999999999993</v>
      </c>
      <c r="I109" s="104">
        <f t="shared" si="1"/>
        <v>472.27982582744204</v>
      </c>
    </row>
    <row r="110" spans="1:9" x14ac:dyDescent="0.35">
      <c r="A110" s="23">
        <v>7</v>
      </c>
      <c r="B110" s="100">
        <v>166</v>
      </c>
      <c r="C110" s="17">
        <v>7</v>
      </c>
      <c r="D110" s="22" t="s">
        <v>134</v>
      </c>
      <c r="E110" s="101">
        <v>468737.5</v>
      </c>
      <c r="F110" s="102">
        <v>69372.91</v>
      </c>
      <c r="G110" s="102">
        <v>399364.58999999997</v>
      </c>
      <c r="H110" s="103">
        <v>812.39060000000006</v>
      </c>
      <c r="I110" s="104">
        <f t="shared" si="1"/>
        <v>491.59184018131174</v>
      </c>
    </row>
    <row r="111" spans="1:9" x14ac:dyDescent="0.35">
      <c r="A111" s="23">
        <v>7</v>
      </c>
      <c r="B111" s="100">
        <v>192</v>
      </c>
      <c r="C111" s="17">
        <v>7</v>
      </c>
      <c r="D111" s="22" t="s">
        <v>135</v>
      </c>
      <c r="E111" s="101">
        <v>131883.44</v>
      </c>
      <c r="F111" s="102">
        <v>15209.029999999999</v>
      </c>
      <c r="G111" s="102">
        <v>116674.41</v>
      </c>
      <c r="H111" s="103">
        <v>176.93</v>
      </c>
      <c r="I111" s="104">
        <f t="shared" si="1"/>
        <v>659.43825241620982</v>
      </c>
    </row>
    <row r="112" spans="1:9" x14ac:dyDescent="0.35">
      <c r="A112" s="23">
        <v>7</v>
      </c>
      <c r="B112" s="100">
        <v>205</v>
      </c>
      <c r="C112" s="17">
        <v>7</v>
      </c>
      <c r="D112" s="22" t="s">
        <v>136</v>
      </c>
      <c r="E112" s="101">
        <v>404989.35</v>
      </c>
      <c r="F112" s="102">
        <v>12086.56</v>
      </c>
      <c r="G112" s="102">
        <v>392902.79</v>
      </c>
      <c r="H112" s="103">
        <v>569.83868095153036</v>
      </c>
      <c r="I112" s="104">
        <f t="shared" si="1"/>
        <v>689.49827930936772</v>
      </c>
    </row>
    <row r="113" spans="1:9" x14ac:dyDescent="0.35">
      <c r="A113" s="23">
        <v>7</v>
      </c>
      <c r="B113" s="100">
        <v>212</v>
      </c>
      <c r="C113" s="17">
        <v>7</v>
      </c>
      <c r="D113" s="22" t="s">
        <v>137</v>
      </c>
      <c r="E113" s="101">
        <v>252953.60000000001</v>
      </c>
      <c r="F113" s="102">
        <v>851</v>
      </c>
      <c r="G113" s="102">
        <v>252102.6</v>
      </c>
      <c r="H113" s="103">
        <v>406.1665486930608</v>
      </c>
      <c r="I113" s="104">
        <f t="shared" si="1"/>
        <v>620.68774696291746</v>
      </c>
    </row>
    <row r="114" spans="1:9" x14ac:dyDescent="0.35">
      <c r="A114" s="23">
        <v>7</v>
      </c>
      <c r="B114" s="100">
        <v>216</v>
      </c>
      <c r="C114" s="17">
        <v>7</v>
      </c>
      <c r="D114" s="22" t="s">
        <v>138</v>
      </c>
      <c r="E114" s="101">
        <v>322813.15000000002</v>
      </c>
      <c r="F114" s="102">
        <v>665</v>
      </c>
      <c r="G114" s="102">
        <v>322148.15000000002</v>
      </c>
      <c r="H114" s="103">
        <v>734.36593752530666</v>
      </c>
      <c r="I114" s="104">
        <f t="shared" si="1"/>
        <v>438.6752347005455</v>
      </c>
    </row>
    <row r="115" spans="1:9" x14ac:dyDescent="0.35">
      <c r="A115" s="23">
        <v>7</v>
      </c>
      <c r="B115" s="100">
        <v>229</v>
      </c>
      <c r="C115" s="17">
        <v>7</v>
      </c>
      <c r="D115" s="22" t="s">
        <v>139</v>
      </c>
      <c r="E115" s="101">
        <v>520124.41</v>
      </c>
      <c r="F115" s="102">
        <v>81188.479999999996</v>
      </c>
      <c r="G115" s="102">
        <v>438935.93</v>
      </c>
      <c r="H115" s="103">
        <v>828.46</v>
      </c>
      <c r="I115" s="104">
        <f t="shared" si="1"/>
        <v>529.82151220336527</v>
      </c>
    </row>
    <row r="116" spans="1:9" x14ac:dyDescent="0.35">
      <c r="A116" s="23">
        <v>7</v>
      </c>
      <c r="B116" s="100">
        <v>236</v>
      </c>
      <c r="C116" s="17">
        <v>7</v>
      </c>
      <c r="D116" s="22" t="s">
        <v>140</v>
      </c>
      <c r="E116" s="101">
        <v>641009.56000000006</v>
      </c>
      <c r="F116" s="102">
        <v>131330.90000000002</v>
      </c>
      <c r="G116" s="102">
        <v>509678.66000000003</v>
      </c>
      <c r="H116" s="103">
        <v>1063.22</v>
      </c>
      <c r="I116" s="104">
        <f t="shared" si="1"/>
        <v>479.37271684129342</v>
      </c>
    </row>
    <row r="117" spans="1:9" x14ac:dyDescent="0.35">
      <c r="A117" s="23">
        <v>7</v>
      </c>
      <c r="B117" s="100">
        <v>238</v>
      </c>
      <c r="C117" s="17">
        <v>7</v>
      </c>
      <c r="D117" s="22" t="s">
        <v>141</v>
      </c>
      <c r="E117" s="101">
        <v>35866.36</v>
      </c>
      <c r="F117" s="102">
        <v>24</v>
      </c>
      <c r="G117" s="102">
        <v>35842.36</v>
      </c>
      <c r="H117" s="103">
        <v>59.944851964987492</v>
      </c>
      <c r="I117" s="104">
        <f t="shared" si="1"/>
        <v>597.92223727459964</v>
      </c>
    </row>
    <row r="118" spans="1:9" x14ac:dyDescent="0.35">
      <c r="A118" s="23">
        <v>7</v>
      </c>
      <c r="B118" s="100">
        <v>239</v>
      </c>
      <c r="C118" s="17">
        <v>7</v>
      </c>
      <c r="D118" s="22" t="s">
        <v>142</v>
      </c>
      <c r="E118" s="101">
        <v>1825402.79</v>
      </c>
      <c r="F118" s="102">
        <v>204609.35</v>
      </c>
      <c r="G118" s="102">
        <v>1620793.44</v>
      </c>
      <c r="H118" s="103">
        <v>2925.25</v>
      </c>
      <c r="I118" s="104">
        <f t="shared" si="1"/>
        <v>554.07005896931889</v>
      </c>
    </row>
    <row r="119" spans="1:9" x14ac:dyDescent="0.35">
      <c r="A119" s="23">
        <v>7</v>
      </c>
      <c r="B119" s="100">
        <v>249</v>
      </c>
      <c r="C119" s="17">
        <v>7</v>
      </c>
      <c r="D119" s="22" t="s">
        <v>143</v>
      </c>
      <c r="E119" s="101">
        <v>679586.79</v>
      </c>
      <c r="F119" s="102">
        <v>0</v>
      </c>
      <c r="G119" s="102">
        <v>679586.79</v>
      </c>
      <c r="H119" s="103">
        <v>1034.1301694779929</v>
      </c>
      <c r="I119" s="104">
        <f t="shared" si="1"/>
        <v>657.15788017580132</v>
      </c>
    </row>
    <row r="120" spans="1:9" x14ac:dyDescent="0.35">
      <c r="A120" s="23">
        <v>7</v>
      </c>
      <c r="B120" s="100">
        <v>271</v>
      </c>
      <c r="C120" s="17">
        <v>7</v>
      </c>
      <c r="D120" s="22" t="s">
        <v>144</v>
      </c>
      <c r="E120" s="101">
        <v>726125.85</v>
      </c>
      <c r="F120" s="102">
        <v>103587.01000000002</v>
      </c>
      <c r="G120" s="102">
        <v>622538.84</v>
      </c>
      <c r="H120" s="103">
        <v>759.30399999999997</v>
      </c>
      <c r="I120" s="104">
        <f t="shared" si="1"/>
        <v>819.88089092115933</v>
      </c>
    </row>
    <row r="121" spans="1:9" x14ac:dyDescent="0.35">
      <c r="A121" s="23">
        <v>7</v>
      </c>
      <c r="B121" s="100">
        <v>275</v>
      </c>
      <c r="C121" s="17">
        <v>7</v>
      </c>
      <c r="D121" s="22" t="s">
        <v>145</v>
      </c>
      <c r="E121" s="101">
        <v>403137.48</v>
      </c>
      <c r="F121" s="102">
        <v>66785.36</v>
      </c>
      <c r="G121" s="102">
        <v>336352.12</v>
      </c>
      <c r="H121" s="103">
        <v>689.9799999999999</v>
      </c>
      <c r="I121" s="104">
        <f t="shared" si="1"/>
        <v>487.48097046291201</v>
      </c>
    </row>
    <row r="122" spans="1:9" x14ac:dyDescent="0.35">
      <c r="A122" s="23">
        <v>7</v>
      </c>
      <c r="B122" s="100">
        <v>282</v>
      </c>
      <c r="C122" s="17">
        <v>7</v>
      </c>
      <c r="D122" s="22" t="s">
        <v>146</v>
      </c>
      <c r="E122" s="101">
        <v>58517.06</v>
      </c>
      <c r="F122" s="102">
        <v>0</v>
      </c>
      <c r="G122" s="102">
        <v>58517.06</v>
      </c>
      <c r="H122" s="103">
        <v>110.63436611728881</v>
      </c>
      <c r="I122" s="104">
        <f t="shared" si="1"/>
        <v>528.92299249912321</v>
      </c>
    </row>
    <row r="123" spans="1:9" x14ac:dyDescent="0.35">
      <c r="A123" s="23">
        <v>7</v>
      </c>
      <c r="B123" s="100">
        <v>287</v>
      </c>
      <c r="C123" s="17">
        <v>7</v>
      </c>
      <c r="D123" s="22" t="s">
        <v>147</v>
      </c>
      <c r="E123" s="101">
        <v>122709.58</v>
      </c>
      <c r="F123" s="102">
        <v>1002.5</v>
      </c>
      <c r="G123" s="102">
        <v>121707.08</v>
      </c>
      <c r="H123" s="103">
        <v>159.07256423396998</v>
      </c>
      <c r="I123" s="104">
        <f t="shared" si="1"/>
        <v>765.1041559937928</v>
      </c>
    </row>
    <row r="124" spans="1:9" x14ac:dyDescent="0.35">
      <c r="A124" s="23">
        <v>7</v>
      </c>
      <c r="B124" s="100">
        <v>290</v>
      </c>
      <c r="C124" s="17">
        <v>7</v>
      </c>
      <c r="D124" s="22" t="s">
        <v>148</v>
      </c>
      <c r="E124" s="101">
        <v>123660.23</v>
      </c>
      <c r="F124" s="102">
        <v>4228.57</v>
      </c>
      <c r="G124" s="102">
        <v>119431.66</v>
      </c>
      <c r="H124" s="103">
        <v>274.8776164213059</v>
      </c>
      <c r="I124" s="104">
        <f t="shared" si="1"/>
        <v>434.49030719528167</v>
      </c>
    </row>
    <row r="125" spans="1:9" x14ac:dyDescent="0.35">
      <c r="A125" s="23">
        <v>7</v>
      </c>
      <c r="B125" s="100">
        <v>294</v>
      </c>
      <c r="C125" s="17">
        <v>7</v>
      </c>
      <c r="D125" s="22" t="s">
        <v>149</v>
      </c>
      <c r="E125" s="101">
        <v>587423.01</v>
      </c>
      <c r="F125" s="102">
        <v>1414</v>
      </c>
      <c r="G125" s="102">
        <v>586009.01</v>
      </c>
      <c r="H125" s="103">
        <v>1039.1314711563653</v>
      </c>
      <c r="I125" s="104">
        <f t="shared" si="1"/>
        <v>563.94116265950265</v>
      </c>
    </row>
    <row r="126" spans="1:9" x14ac:dyDescent="0.35">
      <c r="A126" s="23">
        <v>7</v>
      </c>
      <c r="B126" s="100">
        <v>296</v>
      </c>
      <c r="C126" s="17">
        <v>7</v>
      </c>
      <c r="D126" s="22" t="s">
        <v>150</v>
      </c>
      <c r="E126" s="101">
        <v>880549.01</v>
      </c>
      <c r="F126" s="102">
        <v>140281.66999999998</v>
      </c>
      <c r="G126" s="102">
        <v>740267.34000000008</v>
      </c>
      <c r="H126" s="103">
        <v>799.83</v>
      </c>
      <c r="I126" s="104">
        <f t="shared" si="1"/>
        <v>925.53085030569002</v>
      </c>
    </row>
    <row r="127" spans="1:9" x14ac:dyDescent="0.35">
      <c r="A127" s="23">
        <v>7</v>
      </c>
      <c r="B127" s="100">
        <v>301</v>
      </c>
      <c r="C127" s="17">
        <v>7</v>
      </c>
      <c r="D127" s="22" t="s">
        <v>151</v>
      </c>
      <c r="E127" s="101">
        <v>272819.37</v>
      </c>
      <c r="F127" s="102">
        <v>512.72</v>
      </c>
      <c r="G127" s="102">
        <v>272306.65000000002</v>
      </c>
      <c r="H127" s="103">
        <v>570.3041310256192</v>
      </c>
      <c r="I127" s="104">
        <f t="shared" si="1"/>
        <v>477.47620118109836</v>
      </c>
    </row>
    <row r="128" spans="1:9" x14ac:dyDescent="0.35">
      <c r="A128" s="23">
        <v>7</v>
      </c>
      <c r="B128" s="100">
        <v>321</v>
      </c>
      <c r="C128" s="17">
        <v>7</v>
      </c>
      <c r="D128" s="22" t="s">
        <v>152</v>
      </c>
      <c r="E128" s="101">
        <v>499165.92</v>
      </c>
      <c r="F128" s="102">
        <v>29784.109999999997</v>
      </c>
      <c r="G128" s="102">
        <v>469381.81</v>
      </c>
      <c r="H128" s="103">
        <v>367.13</v>
      </c>
      <c r="I128" s="104">
        <f t="shared" si="1"/>
        <v>1278.5166289870074</v>
      </c>
    </row>
    <row r="129" spans="1:9" x14ac:dyDescent="0.35">
      <c r="A129" s="23">
        <v>7</v>
      </c>
      <c r="B129" s="100">
        <v>325</v>
      </c>
      <c r="C129" s="17">
        <v>7</v>
      </c>
      <c r="D129" s="22" t="s">
        <v>153</v>
      </c>
      <c r="E129" s="101">
        <v>167952.06</v>
      </c>
      <c r="F129" s="102">
        <v>0</v>
      </c>
      <c r="G129" s="102">
        <v>167952.06</v>
      </c>
      <c r="H129" s="103">
        <v>334.4714798023104</v>
      </c>
      <c r="I129" s="104">
        <f t="shared" si="1"/>
        <v>502.14164776999274</v>
      </c>
    </row>
    <row r="130" spans="1:9" x14ac:dyDescent="0.35">
      <c r="A130" s="23">
        <v>7</v>
      </c>
      <c r="B130" s="100">
        <v>346</v>
      </c>
      <c r="C130" s="17">
        <v>7</v>
      </c>
      <c r="D130" s="22" t="s">
        <v>154</v>
      </c>
      <c r="E130" s="101">
        <v>141740.18</v>
      </c>
      <c r="F130" s="102">
        <v>18678.990000000002</v>
      </c>
      <c r="G130" s="102">
        <v>123061.18999999999</v>
      </c>
      <c r="H130" s="103">
        <v>223.88000000000002</v>
      </c>
      <c r="I130" s="104">
        <f t="shared" si="1"/>
        <v>549.67478113274956</v>
      </c>
    </row>
    <row r="131" spans="1:9" x14ac:dyDescent="0.35">
      <c r="A131" s="23">
        <v>7</v>
      </c>
      <c r="B131" s="100">
        <v>358</v>
      </c>
      <c r="C131" s="17">
        <v>7</v>
      </c>
      <c r="D131" s="22" t="s">
        <v>155</v>
      </c>
      <c r="E131" s="101">
        <v>249358.72</v>
      </c>
      <c r="F131" s="102">
        <v>33885.050000000003</v>
      </c>
      <c r="G131" s="102">
        <v>215473.66999999998</v>
      </c>
      <c r="H131" s="103">
        <v>394.71</v>
      </c>
      <c r="I131" s="104">
        <f t="shared" si="1"/>
        <v>545.90375212181095</v>
      </c>
    </row>
    <row r="132" spans="1:9" x14ac:dyDescent="0.35">
      <c r="A132" s="23">
        <v>7</v>
      </c>
      <c r="B132" s="100">
        <v>361</v>
      </c>
      <c r="C132" s="17">
        <v>7</v>
      </c>
      <c r="D132" s="22" t="s">
        <v>156</v>
      </c>
      <c r="E132" s="101">
        <v>950847.24</v>
      </c>
      <c r="F132" s="102">
        <v>8401.06</v>
      </c>
      <c r="G132" s="102">
        <v>942446.17999999993</v>
      </c>
      <c r="H132" s="103">
        <v>1529.9173871204</v>
      </c>
      <c r="I132" s="104">
        <f t="shared" si="1"/>
        <v>616.01115716049583</v>
      </c>
    </row>
    <row r="133" spans="1:9" x14ac:dyDescent="0.35">
      <c r="A133" s="23">
        <v>7</v>
      </c>
      <c r="B133" s="100">
        <v>376</v>
      </c>
      <c r="C133" s="17">
        <v>7</v>
      </c>
      <c r="D133" s="22" t="s">
        <v>157</v>
      </c>
      <c r="E133" s="101">
        <v>292314.15999999997</v>
      </c>
      <c r="F133" s="102">
        <v>428</v>
      </c>
      <c r="G133" s="102">
        <v>291886.15999999997</v>
      </c>
      <c r="H133" s="103">
        <v>640.18588281699169</v>
      </c>
      <c r="I133" s="104">
        <f t="shared" ref="I133:I196" si="2">IFERROR(G133/H133,0)</f>
        <v>455.93970100624779</v>
      </c>
    </row>
    <row r="134" spans="1:9" x14ac:dyDescent="0.35">
      <c r="A134" s="23">
        <v>7</v>
      </c>
      <c r="B134" s="100">
        <v>382</v>
      </c>
      <c r="C134" s="17">
        <v>7</v>
      </c>
      <c r="D134" s="22" t="s">
        <v>158</v>
      </c>
      <c r="E134" s="101">
        <v>102492.26</v>
      </c>
      <c r="F134" s="102">
        <v>19148.469999999998</v>
      </c>
      <c r="G134" s="102">
        <v>83343.789999999994</v>
      </c>
      <c r="H134" s="103">
        <v>188.48</v>
      </c>
      <c r="I134" s="104">
        <f t="shared" si="2"/>
        <v>442.18903862478777</v>
      </c>
    </row>
    <row r="135" spans="1:9" x14ac:dyDescent="0.35">
      <c r="A135" s="23">
        <v>7</v>
      </c>
      <c r="B135" s="100">
        <v>389</v>
      </c>
      <c r="C135" s="17">
        <v>7</v>
      </c>
      <c r="D135" s="22" t="s">
        <v>159</v>
      </c>
      <c r="E135" s="101">
        <v>170757.02</v>
      </c>
      <c r="F135" s="102">
        <v>807.5</v>
      </c>
      <c r="G135" s="102">
        <v>169949.52</v>
      </c>
      <c r="H135" s="103">
        <v>867.99901008098129</v>
      </c>
      <c r="I135" s="104">
        <f t="shared" si="2"/>
        <v>195.79460117603622</v>
      </c>
    </row>
    <row r="136" spans="1:9" x14ac:dyDescent="0.35">
      <c r="A136" s="23">
        <v>7</v>
      </c>
      <c r="B136" s="100">
        <v>434</v>
      </c>
      <c r="C136" s="17">
        <v>7</v>
      </c>
      <c r="D136" s="22" t="s">
        <v>160</v>
      </c>
      <c r="E136" s="101">
        <v>134168.73000000001</v>
      </c>
      <c r="F136" s="102">
        <v>0</v>
      </c>
      <c r="G136" s="102">
        <v>134168.73000000001</v>
      </c>
      <c r="H136" s="103">
        <v>253.47632993519809</v>
      </c>
      <c r="I136" s="104">
        <f t="shared" si="2"/>
        <v>529.3146308150375</v>
      </c>
    </row>
    <row r="137" spans="1:9" x14ac:dyDescent="0.35">
      <c r="A137" s="23">
        <v>7</v>
      </c>
      <c r="B137" s="100">
        <v>437</v>
      </c>
      <c r="C137" s="17">
        <v>7</v>
      </c>
      <c r="D137" s="22" t="s">
        <v>161</v>
      </c>
      <c r="E137" s="101">
        <v>243556.24</v>
      </c>
      <c r="F137" s="102">
        <v>0</v>
      </c>
      <c r="G137" s="102">
        <v>243556.24</v>
      </c>
      <c r="H137" s="103">
        <v>305.36634845286437</v>
      </c>
      <c r="I137" s="104">
        <f t="shared" si="2"/>
        <v>797.58703352211307</v>
      </c>
    </row>
    <row r="138" spans="1:9" x14ac:dyDescent="0.35">
      <c r="A138" s="23">
        <v>7</v>
      </c>
      <c r="B138" s="100">
        <v>502</v>
      </c>
      <c r="C138" s="17">
        <v>7</v>
      </c>
      <c r="D138" s="22" t="s">
        <v>162</v>
      </c>
      <c r="E138" s="101">
        <v>294346.69</v>
      </c>
      <c r="F138" s="102">
        <v>0</v>
      </c>
      <c r="G138" s="102">
        <v>294346.69</v>
      </c>
      <c r="H138" s="103">
        <v>497.74545729062561</v>
      </c>
      <c r="I138" s="104">
        <f t="shared" si="2"/>
        <v>591.35987217686591</v>
      </c>
    </row>
    <row r="139" spans="1:9" x14ac:dyDescent="0.35">
      <c r="A139" s="23">
        <v>7</v>
      </c>
      <c r="B139" s="100">
        <v>503</v>
      </c>
      <c r="C139" s="17">
        <v>7</v>
      </c>
      <c r="D139" s="22" t="s">
        <v>163</v>
      </c>
      <c r="E139" s="101">
        <v>213000.07</v>
      </c>
      <c r="F139" s="102">
        <v>33972.22</v>
      </c>
      <c r="G139" s="102">
        <v>179027.85</v>
      </c>
      <c r="H139" s="103">
        <v>391.2185740323925</v>
      </c>
      <c r="I139" s="104">
        <f t="shared" si="2"/>
        <v>457.61592593805807</v>
      </c>
    </row>
    <row r="140" spans="1:9" x14ac:dyDescent="0.35">
      <c r="A140" s="23">
        <v>7</v>
      </c>
      <c r="B140" s="100">
        <v>510</v>
      </c>
      <c r="C140" s="17">
        <v>7</v>
      </c>
      <c r="D140" s="22" t="s">
        <v>164</v>
      </c>
      <c r="E140" s="101">
        <v>285919.75</v>
      </c>
      <c r="F140" s="102">
        <v>1071</v>
      </c>
      <c r="G140" s="102">
        <v>284848.75</v>
      </c>
      <c r="H140" s="103">
        <v>507.29892721805413</v>
      </c>
      <c r="I140" s="104">
        <f t="shared" si="2"/>
        <v>561.50079315575294</v>
      </c>
    </row>
    <row r="141" spans="1:9" x14ac:dyDescent="0.35">
      <c r="A141" s="23">
        <v>7</v>
      </c>
      <c r="B141" s="100">
        <v>531</v>
      </c>
      <c r="C141" s="17">
        <v>7</v>
      </c>
      <c r="D141" s="22" t="s">
        <v>165</v>
      </c>
      <c r="E141" s="101">
        <v>629818.71</v>
      </c>
      <c r="F141" s="102">
        <v>2609.7399999999998</v>
      </c>
      <c r="G141" s="102">
        <v>627208.97</v>
      </c>
      <c r="H141" s="103">
        <v>1984.57</v>
      </c>
      <c r="I141" s="104">
        <f t="shared" si="2"/>
        <v>316.04275485369624</v>
      </c>
    </row>
    <row r="142" spans="1:9" x14ac:dyDescent="0.35">
      <c r="A142" s="23">
        <v>7</v>
      </c>
      <c r="B142" s="100">
        <v>550</v>
      </c>
      <c r="C142" s="17">
        <v>7</v>
      </c>
      <c r="D142" s="22" t="s">
        <v>166</v>
      </c>
      <c r="E142" s="101">
        <v>463950.3</v>
      </c>
      <c r="F142" s="102">
        <v>1281.74</v>
      </c>
      <c r="G142" s="102">
        <v>462668.56</v>
      </c>
      <c r="H142" s="103">
        <v>242.01</v>
      </c>
      <c r="I142" s="104">
        <f t="shared" si="2"/>
        <v>1911.7745547704642</v>
      </c>
    </row>
    <row r="143" spans="1:9" x14ac:dyDescent="0.35">
      <c r="A143" s="23">
        <v>7</v>
      </c>
      <c r="B143" s="100">
        <v>551</v>
      </c>
      <c r="C143" s="17">
        <v>7</v>
      </c>
      <c r="D143" s="22" t="s">
        <v>167</v>
      </c>
      <c r="E143" s="101">
        <v>117853.72</v>
      </c>
      <c r="F143" s="102">
        <v>72</v>
      </c>
      <c r="G143" s="102">
        <v>117781.72</v>
      </c>
      <c r="H143" s="103">
        <v>153.38752675955698</v>
      </c>
      <c r="I143" s="104">
        <f t="shared" si="2"/>
        <v>767.87025965044108</v>
      </c>
    </row>
    <row r="144" spans="1:9" x14ac:dyDescent="0.35">
      <c r="A144" s="23">
        <v>7</v>
      </c>
      <c r="B144" s="100">
        <v>555</v>
      </c>
      <c r="C144" s="17">
        <v>7</v>
      </c>
      <c r="D144" s="22" t="s">
        <v>168</v>
      </c>
      <c r="E144" s="101">
        <v>492608.68</v>
      </c>
      <c r="F144" s="102">
        <v>497.7</v>
      </c>
      <c r="G144" s="102">
        <v>492110.98</v>
      </c>
      <c r="H144" s="103">
        <v>517.66739217631118</v>
      </c>
      <c r="I144" s="104">
        <f t="shared" si="2"/>
        <v>950.63159750342743</v>
      </c>
    </row>
    <row r="145" spans="1:9" x14ac:dyDescent="0.35">
      <c r="A145" s="23">
        <v>7</v>
      </c>
      <c r="B145" s="100">
        <v>556</v>
      </c>
      <c r="C145" s="17">
        <v>7</v>
      </c>
      <c r="D145" s="22" t="s">
        <v>169</v>
      </c>
      <c r="E145" s="101">
        <v>251644.37</v>
      </c>
      <c r="F145" s="102">
        <v>73939.33</v>
      </c>
      <c r="G145" s="102">
        <v>177705.03999999998</v>
      </c>
      <c r="H145" s="103">
        <v>429.57419276527332</v>
      </c>
      <c r="I145" s="104">
        <f t="shared" si="2"/>
        <v>413.67717845448192</v>
      </c>
    </row>
    <row r="146" spans="1:9" x14ac:dyDescent="0.35">
      <c r="A146" s="23">
        <v>7</v>
      </c>
      <c r="B146" s="100">
        <v>558</v>
      </c>
      <c r="C146" s="17">
        <v>7</v>
      </c>
      <c r="D146" s="22" t="s">
        <v>170</v>
      </c>
      <c r="E146" s="101">
        <v>237481.28</v>
      </c>
      <c r="F146" s="102">
        <v>9049.75</v>
      </c>
      <c r="G146" s="102">
        <v>228431.53</v>
      </c>
      <c r="H146" s="103">
        <v>390.35157563140439</v>
      </c>
      <c r="I146" s="104">
        <f t="shared" si="2"/>
        <v>585.19433316108882</v>
      </c>
    </row>
    <row r="147" spans="1:9" x14ac:dyDescent="0.35">
      <c r="A147" s="23">
        <v>7</v>
      </c>
      <c r="B147" s="100">
        <v>600</v>
      </c>
      <c r="C147" s="17">
        <v>7</v>
      </c>
      <c r="D147" s="22" t="s">
        <v>171</v>
      </c>
      <c r="E147" s="101">
        <v>289349.82</v>
      </c>
      <c r="F147" s="102">
        <v>0</v>
      </c>
      <c r="G147" s="102">
        <v>289349.82</v>
      </c>
      <c r="H147" s="103">
        <v>754.93</v>
      </c>
      <c r="I147" s="104">
        <f t="shared" si="2"/>
        <v>383.28033062668067</v>
      </c>
    </row>
    <row r="148" spans="1:9" x14ac:dyDescent="0.35">
      <c r="A148" s="23">
        <v>7</v>
      </c>
      <c r="B148" s="100">
        <v>604</v>
      </c>
      <c r="C148" s="17">
        <v>7</v>
      </c>
      <c r="D148" s="22" t="s">
        <v>172</v>
      </c>
      <c r="E148" s="101">
        <v>227300.68</v>
      </c>
      <c r="F148" s="102">
        <v>4684.6499999999996</v>
      </c>
      <c r="G148" s="102">
        <v>222616.03</v>
      </c>
      <c r="H148" s="103">
        <v>515.30042961563572</v>
      </c>
      <c r="I148" s="104">
        <f t="shared" si="2"/>
        <v>432.01211799114941</v>
      </c>
    </row>
    <row r="149" spans="1:9" x14ac:dyDescent="0.35">
      <c r="A149" s="23">
        <v>7</v>
      </c>
      <c r="B149" s="100">
        <v>612</v>
      </c>
      <c r="C149" s="17">
        <v>7</v>
      </c>
      <c r="D149" s="22" t="s">
        <v>173</v>
      </c>
      <c r="E149" s="101">
        <v>309970.14</v>
      </c>
      <c r="F149" s="102">
        <v>6701.21</v>
      </c>
      <c r="G149" s="102">
        <v>303268.93</v>
      </c>
      <c r="H149" s="103">
        <v>465.4674142756993</v>
      </c>
      <c r="I149" s="104">
        <f t="shared" si="2"/>
        <v>651.53632821302483</v>
      </c>
    </row>
    <row r="150" spans="1:9" x14ac:dyDescent="0.35">
      <c r="A150" s="23">
        <v>7</v>
      </c>
      <c r="B150" s="100">
        <v>635</v>
      </c>
      <c r="C150" s="17">
        <v>7</v>
      </c>
      <c r="D150" s="22" t="s">
        <v>174</v>
      </c>
      <c r="E150" s="101">
        <v>38338.959999999999</v>
      </c>
      <c r="F150" s="102">
        <v>0</v>
      </c>
      <c r="G150" s="102">
        <v>38338.959999999999</v>
      </c>
      <c r="H150" s="103">
        <v>58.100000000000016</v>
      </c>
      <c r="I150" s="104">
        <f t="shared" si="2"/>
        <v>659.8788296041306</v>
      </c>
    </row>
    <row r="151" spans="1:9" x14ac:dyDescent="0.35">
      <c r="A151" s="23">
        <v>7</v>
      </c>
      <c r="B151" s="100">
        <v>642</v>
      </c>
      <c r="C151" s="17">
        <v>7</v>
      </c>
      <c r="D151" s="22" t="s">
        <v>175</v>
      </c>
      <c r="E151" s="101">
        <v>68196.52</v>
      </c>
      <c r="F151" s="102">
        <v>0</v>
      </c>
      <c r="G151" s="102">
        <v>68196.52</v>
      </c>
      <c r="H151" s="103">
        <v>131.41386363582231</v>
      </c>
      <c r="I151" s="104">
        <f t="shared" si="2"/>
        <v>518.94463881670856</v>
      </c>
    </row>
    <row r="152" spans="1:9" x14ac:dyDescent="0.35">
      <c r="A152" s="23">
        <v>7</v>
      </c>
      <c r="B152" s="100">
        <v>643</v>
      </c>
      <c r="C152" s="17">
        <v>7</v>
      </c>
      <c r="D152" s="22" t="s">
        <v>176</v>
      </c>
      <c r="E152" s="101">
        <v>25324.71</v>
      </c>
      <c r="F152" s="102">
        <v>0</v>
      </c>
      <c r="G152" s="102">
        <v>25324.71</v>
      </c>
      <c r="H152" s="103">
        <v>8.1079758961533877</v>
      </c>
      <c r="I152" s="104">
        <f t="shared" si="2"/>
        <v>3123.4318311200986</v>
      </c>
    </row>
    <row r="153" spans="1:9" x14ac:dyDescent="0.35">
      <c r="A153" s="23">
        <v>7</v>
      </c>
      <c r="B153" s="100">
        <v>711</v>
      </c>
      <c r="C153" s="17">
        <v>7</v>
      </c>
      <c r="D153" s="22" t="s">
        <v>177</v>
      </c>
      <c r="E153" s="101">
        <v>239906.51</v>
      </c>
      <c r="F153" s="102">
        <v>6079.57</v>
      </c>
      <c r="G153" s="102">
        <v>233826.94</v>
      </c>
      <c r="H153" s="103">
        <v>456.7</v>
      </c>
      <c r="I153" s="104">
        <f t="shared" si="2"/>
        <v>511.99242391066349</v>
      </c>
    </row>
    <row r="154" spans="1:9" x14ac:dyDescent="0.35">
      <c r="A154" s="23">
        <v>7</v>
      </c>
      <c r="B154" s="100">
        <v>712</v>
      </c>
      <c r="C154" s="17">
        <v>7</v>
      </c>
      <c r="D154" s="22" t="s">
        <v>178</v>
      </c>
      <c r="E154" s="101">
        <v>294954.17</v>
      </c>
      <c r="F154" s="102">
        <v>0</v>
      </c>
      <c r="G154" s="102">
        <v>294954.17</v>
      </c>
      <c r="H154" s="103">
        <v>732.75000000000011</v>
      </c>
      <c r="I154" s="104">
        <f t="shared" si="2"/>
        <v>402.53042647560551</v>
      </c>
    </row>
    <row r="155" spans="1:9" x14ac:dyDescent="0.35">
      <c r="A155" s="23">
        <v>7</v>
      </c>
      <c r="B155" s="100">
        <v>718</v>
      </c>
      <c r="C155" s="17">
        <v>7</v>
      </c>
      <c r="D155" s="22" t="s">
        <v>179</v>
      </c>
      <c r="E155" s="101">
        <v>24351.48</v>
      </c>
      <c r="F155" s="102">
        <v>0</v>
      </c>
      <c r="G155" s="102">
        <v>24351.48</v>
      </c>
      <c r="H155" s="103">
        <v>33.193832100901929</v>
      </c>
      <c r="I155" s="104">
        <f t="shared" si="2"/>
        <v>733.61460424264578</v>
      </c>
    </row>
    <row r="156" spans="1:9" x14ac:dyDescent="0.35">
      <c r="A156" s="23">
        <v>7</v>
      </c>
      <c r="B156" s="100">
        <v>736</v>
      </c>
      <c r="C156" s="17">
        <v>7</v>
      </c>
      <c r="D156" s="22" t="s">
        <v>180</v>
      </c>
      <c r="E156" s="101">
        <v>112946.17</v>
      </c>
      <c r="F156" s="102">
        <v>198</v>
      </c>
      <c r="G156" s="102">
        <v>112748.17</v>
      </c>
      <c r="H156" s="103">
        <v>122.59818725735381</v>
      </c>
      <c r="I156" s="104">
        <f t="shared" si="2"/>
        <v>919.65609379951923</v>
      </c>
    </row>
    <row r="157" spans="1:9" x14ac:dyDescent="0.35">
      <c r="A157" s="23">
        <v>7</v>
      </c>
      <c r="B157" s="100">
        <v>757</v>
      </c>
      <c r="C157" s="17">
        <v>7</v>
      </c>
      <c r="D157" s="22" t="s">
        <v>181</v>
      </c>
      <c r="E157" s="101">
        <v>282725.34000000003</v>
      </c>
      <c r="F157" s="102">
        <v>29075.73</v>
      </c>
      <c r="G157" s="102">
        <v>253649.61000000002</v>
      </c>
      <c r="H157" s="103">
        <v>525.4</v>
      </c>
      <c r="I157" s="104">
        <f t="shared" si="2"/>
        <v>482.77428625808915</v>
      </c>
    </row>
    <row r="158" spans="1:9" x14ac:dyDescent="0.35">
      <c r="A158" s="23">
        <v>7</v>
      </c>
      <c r="B158" s="100">
        <v>786</v>
      </c>
      <c r="C158" s="17">
        <v>7</v>
      </c>
      <c r="D158" s="22" t="s">
        <v>182</v>
      </c>
      <c r="E158" s="101">
        <v>1688120.75</v>
      </c>
      <c r="F158" s="102">
        <v>214655.14</v>
      </c>
      <c r="G158" s="102">
        <v>1473465.6099999999</v>
      </c>
      <c r="H158" s="103">
        <v>3077.6600000000003</v>
      </c>
      <c r="I158" s="104">
        <f t="shared" si="2"/>
        <v>478.76165983247006</v>
      </c>
    </row>
    <row r="159" spans="1:9" x14ac:dyDescent="0.35">
      <c r="A159" s="23">
        <v>7</v>
      </c>
      <c r="B159" s="100">
        <v>854</v>
      </c>
      <c r="C159" s="17">
        <v>7</v>
      </c>
      <c r="D159" s="22" t="s">
        <v>183</v>
      </c>
      <c r="E159" s="101">
        <v>538668.79</v>
      </c>
      <c r="F159" s="102">
        <v>37955.19</v>
      </c>
      <c r="G159" s="102">
        <v>500713.60000000003</v>
      </c>
      <c r="H159" s="103">
        <v>929.24</v>
      </c>
      <c r="I159" s="104">
        <f t="shared" si="2"/>
        <v>538.84206448280315</v>
      </c>
    </row>
    <row r="160" spans="1:9" x14ac:dyDescent="0.35">
      <c r="A160" s="23">
        <v>7</v>
      </c>
      <c r="B160" s="100">
        <v>855</v>
      </c>
      <c r="C160" s="17">
        <v>7</v>
      </c>
      <c r="D160" s="22" t="s">
        <v>184</v>
      </c>
      <c r="E160" s="101">
        <v>140023.82</v>
      </c>
      <c r="F160" s="102">
        <v>7037</v>
      </c>
      <c r="G160" s="102">
        <v>132986.82</v>
      </c>
      <c r="H160" s="103">
        <v>155.11353756998295</v>
      </c>
      <c r="I160" s="104">
        <f t="shared" si="2"/>
        <v>857.35147352951071</v>
      </c>
    </row>
    <row r="161" spans="1:9" x14ac:dyDescent="0.35">
      <c r="A161" s="23">
        <v>7</v>
      </c>
      <c r="B161" s="100">
        <v>862</v>
      </c>
      <c r="C161" s="17">
        <v>7</v>
      </c>
      <c r="D161" s="22" t="s">
        <v>185</v>
      </c>
      <c r="E161" s="101">
        <v>11467.29</v>
      </c>
      <c r="F161" s="102">
        <v>8232.5</v>
      </c>
      <c r="G161" s="102">
        <v>3234.7900000000009</v>
      </c>
      <c r="H161" s="103">
        <v>12.345441747052517</v>
      </c>
      <c r="I161" s="104">
        <f t="shared" si="2"/>
        <v>262.02302568657046</v>
      </c>
    </row>
    <row r="162" spans="1:9" x14ac:dyDescent="0.35">
      <c r="A162" s="23">
        <v>7</v>
      </c>
      <c r="B162" s="100">
        <v>958</v>
      </c>
      <c r="C162" s="17">
        <v>7</v>
      </c>
      <c r="D162" s="22" t="s">
        <v>186</v>
      </c>
      <c r="E162" s="101">
        <v>99405.3</v>
      </c>
      <c r="F162" s="102">
        <v>311.52</v>
      </c>
      <c r="G162" s="102">
        <v>99093.78</v>
      </c>
      <c r="H162" s="103">
        <v>508.60074662379418</v>
      </c>
      <c r="I162" s="104">
        <f t="shared" si="2"/>
        <v>194.83608834199859</v>
      </c>
    </row>
    <row r="163" spans="1:9" x14ac:dyDescent="0.35">
      <c r="A163" s="23">
        <v>7</v>
      </c>
      <c r="B163" s="100">
        <v>967</v>
      </c>
      <c r="C163" s="17">
        <v>7</v>
      </c>
      <c r="D163" s="22" t="s">
        <v>187</v>
      </c>
      <c r="E163" s="101">
        <v>91606.77</v>
      </c>
      <c r="F163" s="102">
        <v>0</v>
      </c>
      <c r="G163" s="102">
        <v>91606.77</v>
      </c>
      <c r="H163" s="103">
        <v>155.99990261402883</v>
      </c>
      <c r="I163" s="104">
        <f t="shared" si="2"/>
        <v>587.22325120068342</v>
      </c>
    </row>
    <row r="164" spans="1:9" x14ac:dyDescent="0.35">
      <c r="A164" s="23">
        <v>7</v>
      </c>
      <c r="B164" s="100">
        <v>971</v>
      </c>
      <c r="C164" s="17">
        <v>7</v>
      </c>
      <c r="D164" s="22" t="s">
        <v>188</v>
      </c>
      <c r="E164" s="101">
        <v>579439.27</v>
      </c>
      <c r="F164" s="102">
        <v>96935.22</v>
      </c>
      <c r="G164" s="102">
        <v>482504.05000000005</v>
      </c>
      <c r="H164" s="103">
        <v>888.33999999999992</v>
      </c>
      <c r="I164" s="104">
        <f t="shared" si="2"/>
        <v>543.15245288965946</v>
      </c>
    </row>
    <row r="165" spans="1:9" x14ac:dyDescent="0.35">
      <c r="A165" s="23">
        <v>7</v>
      </c>
      <c r="B165" s="100">
        <v>975</v>
      </c>
      <c r="C165" s="17">
        <v>7</v>
      </c>
      <c r="D165" s="22" t="s">
        <v>189</v>
      </c>
      <c r="E165" s="101">
        <v>76785.06</v>
      </c>
      <c r="F165" s="102">
        <v>0</v>
      </c>
      <c r="G165" s="102">
        <v>76785.06</v>
      </c>
      <c r="H165" s="103">
        <v>30.317539180659761</v>
      </c>
      <c r="I165" s="104">
        <f t="shared" si="2"/>
        <v>2532.694343773881</v>
      </c>
    </row>
    <row r="166" spans="1:9" x14ac:dyDescent="0.35">
      <c r="A166" s="23">
        <v>7</v>
      </c>
      <c r="B166" s="100">
        <v>976</v>
      </c>
      <c r="C166" s="17">
        <v>7</v>
      </c>
      <c r="D166" s="22" t="s">
        <v>295</v>
      </c>
      <c r="E166" s="101">
        <v>39297.230000000003</v>
      </c>
      <c r="F166" s="102">
        <v>0</v>
      </c>
      <c r="G166" s="102">
        <v>39297.230000000003</v>
      </c>
      <c r="H166" s="103">
        <v>31.32229912468739</v>
      </c>
      <c r="I166" s="104">
        <f t="shared" si="2"/>
        <v>1254.6087323783645</v>
      </c>
    </row>
    <row r="167" spans="1:9" x14ac:dyDescent="0.35">
      <c r="A167" s="23">
        <v>7</v>
      </c>
      <c r="B167" s="100">
        <v>977</v>
      </c>
      <c r="C167" s="17">
        <v>7</v>
      </c>
      <c r="D167" s="22" t="s">
        <v>190</v>
      </c>
      <c r="E167" s="101">
        <v>60860.35</v>
      </c>
      <c r="F167" s="102">
        <v>0</v>
      </c>
      <c r="G167" s="102">
        <v>60860.35</v>
      </c>
      <c r="H167" s="103">
        <v>47.09266172442539</v>
      </c>
      <c r="I167" s="104">
        <f t="shared" si="2"/>
        <v>1292.3531559150281</v>
      </c>
    </row>
    <row r="168" spans="1:9" x14ac:dyDescent="0.35">
      <c r="A168" s="23">
        <v>8</v>
      </c>
      <c r="B168" s="100">
        <v>979</v>
      </c>
      <c r="C168" s="17">
        <v>7</v>
      </c>
      <c r="D168" s="22" t="s">
        <v>349</v>
      </c>
      <c r="E168" s="101">
        <v>106200.78</v>
      </c>
      <c r="F168" s="102">
        <v>0</v>
      </c>
      <c r="G168" s="102">
        <v>106200.78</v>
      </c>
      <c r="H168" s="103">
        <v>251.06766740502562</v>
      </c>
      <c r="I168" s="104">
        <f t="shared" si="2"/>
        <v>422.99664109546819</v>
      </c>
    </row>
    <row r="169" spans="1:9" x14ac:dyDescent="0.35">
      <c r="A169" s="23">
        <v>8</v>
      </c>
      <c r="B169" s="100">
        <v>981</v>
      </c>
      <c r="C169" s="17">
        <v>7</v>
      </c>
      <c r="D169" s="22" t="s">
        <v>191</v>
      </c>
      <c r="E169" s="101">
        <v>116776.12</v>
      </c>
      <c r="F169" s="102">
        <v>26983</v>
      </c>
      <c r="G169" s="102">
        <v>89793.12</v>
      </c>
      <c r="H169" s="103">
        <v>202.51591950101229</v>
      </c>
      <c r="I169" s="104">
        <f t="shared" si="2"/>
        <v>443.38795795039294</v>
      </c>
    </row>
    <row r="170" spans="1:9" x14ac:dyDescent="0.35">
      <c r="A170" s="23">
        <v>8</v>
      </c>
      <c r="B170" s="100">
        <v>983</v>
      </c>
      <c r="C170" s="17">
        <v>7</v>
      </c>
      <c r="D170" s="22" t="s">
        <v>192</v>
      </c>
      <c r="E170" s="101">
        <v>32152.06</v>
      </c>
      <c r="F170" s="102">
        <v>0</v>
      </c>
      <c r="G170" s="102">
        <v>32152.06</v>
      </c>
      <c r="H170" s="103">
        <v>75.897781633089437</v>
      </c>
      <c r="I170" s="104">
        <f t="shared" si="2"/>
        <v>423.62318513381354</v>
      </c>
    </row>
    <row r="171" spans="1:9" x14ac:dyDescent="0.35">
      <c r="A171" s="23">
        <v>8</v>
      </c>
      <c r="B171" s="100">
        <v>984</v>
      </c>
      <c r="C171" s="17">
        <v>7</v>
      </c>
      <c r="D171" s="22" t="s">
        <v>193</v>
      </c>
      <c r="E171" s="101">
        <v>9622.4</v>
      </c>
      <c r="F171" s="102">
        <v>2612</v>
      </c>
      <c r="G171" s="102">
        <v>7010.4</v>
      </c>
      <c r="H171" s="103">
        <v>22.261985542455641</v>
      </c>
      <c r="I171" s="104">
        <f t="shared" si="2"/>
        <v>314.90452577244406</v>
      </c>
    </row>
    <row r="172" spans="1:9" x14ac:dyDescent="0.35">
      <c r="A172" s="23">
        <v>8</v>
      </c>
      <c r="B172" s="100">
        <v>188</v>
      </c>
      <c r="C172" s="17">
        <v>8</v>
      </c>
      <c r="D172" s="22" t="s">
        <v>194</v>
      </c>
      <c r="E172" s="101">
        <v>136694.57999999999</v>
      </c>
      <c r="F172" s="102">
        <v>8053</v>
      </c>
      <c r="G172" s="102">
        <v>128641.57999999999</v>
      </c>
      <c r="H172" s="103">
        <v>151.82</v>
      </c>
      <c r="I172" s="104">
        <f t="shared" si="2"/>
        <v>847.32960084310366</v>
      </c>
    </row>
    <row r="173" spans="1:9" x14ac:dyDescent="0.35">
      <c r="A173" s="23">
        <v>8</v>
      </c>
      <c r="B173" s="100">
        <v>232</v>
      </c>
      <c r="C173" s="17">
        <v>8</v>
      </c>
      <c r="D173" s="22" t="s">
        <v>195</v>
      </c>
      <c r="E173" s="101">
        <v>120790.9</v>
      </c>
      <c r="F173" s="102">
        <v>0</v>
      </c>
      <c r="G173" s="102">
        <v>120790.9</v>
      </c>
      <c r="H173" s="103">
        <v>99.943034780278666</v>
      </c>
      <c r="I173" s="104">
        <f t="shared" si="2"/>
        <v>1208.5974802101482</v>
      </c>
    </row>
    <row r="174" spans="1:9" x14ac:dyDescent="0.35">
      <c r="A174" s="23">
        <v>8</v>
      </c>
      <c r="B174" s="100">
        <v>245</v>
      </c>
      <c r="C174" s="17">
        <v>8</v>
      </c>
      <c r="D174" s="22" t="s">
        <v>196</v>
      </c>
      <c r="E174" s="101">
        <v>631790.16</v>
      </c>
      <c r="F174" s="102">
        <v>0</v>
      </c>
      <c r="G174" s="102">
        <v>631790.16</v>
      </c>
      <c r="H174" s="103">
        <v>237.74999999999997</v>
      </c>
      <c r="I174" s="104">
        <f t="shared" si="2"/>
        <v>2657.3718611987388</v>
      </c>
    </row>
    <row r="175" spans="1:9" x14ac:dyDescent="0.35">
      <c r="A175" s="23">
        <v>8</v>
      </c>
      <c r="B175" s="100">
        <v>372</v>
      </c>
      <c r="C175" s="17">
        <v>8</v>
      </c>
      <c r="D175" s="22" t="s">
        <v>197</v>
      </c>
      <c r="E175" s="101">
        <v>86253.52</v>
      </c>
      <c r="F175" s="102">
        <v>0</v>
      </c>
      <c r="G175" s="102">
        <v>86253.52</v>
      </c>
      <c r="H175" s="103">
        <v>124.59</v>
      </c>
      <c r="I175" s="104">
        <f t="shared" si="2"/>
        <v>692.29890039328995</v>
      </c>
    </row>
    <row r="176" spans="1:9" x14ac:dyDescent="0.35">
      <c r="A176" s="23">
        <v>8</v>
      </c>
      <c r="B176" s="100">
        <v>375</v>
      </c>
      <c r="C176" s="17">
        <v>8</v>
      </c>
      <c r="D176" s="22" t="s">
        <v>198</v>
      </c>
      <c r="E176" s="101">
        <v>231561.51</v>
      </c>
      <c r="F176" s="102">
        <v>0</v>
      </c>
      <c r="G176" s="102">
        <v>231561.51</v>
      </c>
      <c r="H176" s="103">
        <v>162.62</v>
      </c>
      <c r="I176" s="104">
        <f t="shared" si="2"/>
        <v>1423.9423810109458</v>
      </c>
    </row>
    <row r="177" spans="1:9" x14ac:dyDescent="0.35">
      <c r="A177" s="23">
        <v>8</v>
      </c>
      <c r="B177" s="100">
        <v>404</v>
      </c>
      <c r="C177" s="17">
        <v>8</v>
      </c>
      <c r="D177" s="22" t="s">
        <v>199</v>
      </c>
      <c r="E177" s="101">
        <v>301241.45</v>
      </c>
      <c r="F177" s="102">
        <v>16226.76</v>
      </c>
      <c r="G177" s="102">
        <v>285014.69</v>
      </c>
      <c r="H177" s="103">
        <v>459.07044990472792</v>
      </c>
      <c r="I177" s="104">
        <f t="shared" si="2"/>
        <v>620.85174521503143</v>
      </c>
    </row>
    <row r="178" spans="1:9" x14ac:dyDescent="0.35">
      <c r="A178" s="23">
        <v>8</v>
      </c>
      <c r="B178" s="100">
        <v>413</v>
      </c>
      <c r="C178" s="17">
        <v>8</v>
      </c>
      <c r="D178" s="22" t="s">
        <v>200</v>
      </c>
      <c r="E178" s="101">
        <v>92788.2</v>
      </c>
      <c r="F178" s="102">
        <v>110</v>
      </c>
      <c r="G178" s="102">
        <v>92678.2</v>
      </c>
      <c r="H178" s="103">
        <v>76.8</v>
      </c>
      <c r="I178" s="104">
        <f t="shared" si="2"/>
        <v>1206.7473958333333</v>
      </c>
    </row>
    <row r="179" spans="1:9" x14ac:dyDescent="0.35">
      <c r="A179" s="23">
        <v>8</v>
      </c>
      <c r="B179" s="100">
        <v>537</v>
      </c>
      <c r="C179" s="17">
        <v>8</v>
      </c>
      <c r="D179" s="22" t="s">
        <v>201</v>
      </c>
      <c r="E179" s="101">
        <v>8112.34</v>
      </c>
      <c r="F179" s="102">
        <v>0</v>
      </c>
      <c r="G179" s="102">
        <v>8112.34</v>
      </c>
      <c r="H179" s="103">
        <v>9.7918986885088461</v>
      </c>
      <c r="I179" s="104">
        <f t="shared" si="2"/>
        <v>828.47466646281077</v>
      </c>
    </row>
    <row r="180" spans="1:9" x14ac:dyDescent="0.35">
      <c r="A180" s="23">
        <v>8</v>
      </c>
      <c r="B180" s="100">
        <v>545</v>
      </c>
      <c r="C180" s="17">
        <v>8</v>
      </c>
      <c r="D180" s="22" t="s">
        <v>202</v>
      </c>
      <c r="E180" s="101">
        <v>8088.84</v>
      </c>
      <c r="F180" s="102">
        <v>0</v>
      </c>
      <c r="G180" s="102">
        <v>8088.84</v>
      </c>
      <c r="H180" s="103">
        <v>14.800550827676549</v>
      </c>
      <c r="I180" s="104">
        <f t="shared" si="2"/>
        <v>546.52290270671085</v>
      </c>
    </row>
    <row r="181" spans="1:9" x14ac:dyDescent="0.35">
      <c r="A181" s="23">
        <v>8</v>
      </c>
      <c r="B181" s="100">
        <v>602</v>
      </c>
      <c r="C181" s="17">
        <v>8</v>
      </c>
      <c r="D181" s="22" t="s">
        <v>350</v>
      </c>
      <c r="E181" s="101">
        <v>26328.83</v>
      </c>
      <c r="F181" s="102">
        <v>0</v>
      </c>
      <c r="G181" s="102">
        <v>26328.83</v>
      </c>
      <c r="H181" s="103">
        <v>15.286633204362731</v>
      </c>
      <c r="I181" s="104">
        <f t="shared" si="2"/>
        <v>1722.3432817427633</v>
      </c>
    </row>
    <row r="182" spans="1:9" x14ac:dyDescent="0.35">
      <c r="A182" s="23">
        <v>8</v>
      </c>
      <c r="B182" s="100">
        <v>605</v>
      </c>
      <c r="C182" s="17">
        <v>8</v>
      </c>
      <c r="D182" s="22" t="s">
        <v>203</v>
      </c>
      <c r="E182" s="101">
        <v>8356.2900000000009</v>
      </c>
      <c r="F182" s="102">
        <v>0</v>
      </c>
      <c r="G182" s="102">
        <v>8356.2900000000009</v>
      </c>
      <c r="H182" s="103">
        <v>11.743233894780035</v>
      </c>
      <c r="I182" s="104">
        <f t="shared" si="2"/>
        <v>711.58337429644837</v>
      </c>
    </row>
    <row r="183" spans="1:9" x14ac:dyDescent="0.35">
      <c r="A183" s="23">
        <v>8</v>
      </c>
      <c r="B183" s="100">
        <v>607</v>
      </c>
      <c r="C183" s="17">
        <v>8</v>
      </c>
      <c r="D183" s="22" t="s">
        <v>204</v>
      </c>
      <c r="E183" s="101">
        <v>12544.93</v>
      </c>
      <c r="F183" s="102">
        <v>0</v>
      </c>
      <c r="G183" s="102">
        <v>12544.93</v>
      </c>
      <c r="H183" s="103">
        <v>17.618373107885343</v>
      </c>
      <c r="I183" s="104">
        <f t="shared" si="2"/>
        <v>712.0367994923065</v>
      </c>
    </row>
    <row r="184" spans="1:9" x14ac:dyDescent="0.35">
      <c r="A184" s="23">
        <v>8</v>
      </c>
      <c r="B184" s="100">
        <v>610</v>
      </c>
      <c r="C184" s="17">
        <v>8</v>
      </c>
      <c r="D184" s="22" t="s">
        <v>205</v>
      </c>
      <c r="E184" s="101">
        <v>39395.15</v>
      </c>
      <c r="F184" s="102">
        <v>0</v>
      </c>
      <c r="G184" s="102">
        <v>39395.15</v>
      </c>
      <c r="H184" s="103">
        <v>75.671529349767766</v>
      </c>
      <c r="I184" s="104">
        <f t="shared" si="2"/>
        <v>520.60729231344533</v>
      </c>
    </row>
    <row r="185" spans="1:9" x14ac:dyDescent="0.35">
      <c r="A185" s="23">
        <v>8</v>
      </c>
      <c r="B185" s="100">
        <v>611</v>
      </c>
      <c r="C185" s="17">
        <v>8</v>
      </c>
      <c r="D185" s="22" t="s">
        <v>206</v>
      </c>
      <c r="E185" s="101">
        <v>37334.879999999997</v>
      </c>
      <c r="F185" s="102">
        <v>0</v>
      </c>
      <c r="G185" s="102">
        <v>37334.879999999997</v>
      </c>
      <c r="H185" s="103">
        <v>19.780665332856973</v>
      </c>
      <c r="I185" s="104">
        <f t="shared" si="2"/>
        <v>1887.4430850404374</v>
      </c>
    </row>
    <row r="186" spans="1:9" x14ac:dyDescent="0.35">
      <c r="A186" s="23">
        <v>8</v>
      </c>
      <c r="B186" s="100">
        <v>616</v>
      </c>
      <c r="C186" s="17">
        <v>8</v>
      </c>
      <c r="D186" s="22" t="s">
        <v>207</v>
      </c>
      <c r="E186" s="101">
        <v>264029.39</v>
      </c>
      <c r="F186" s="102">
        <v>0</v>
      </c>
      <c r="G186" s="102">
        <v>264029.39</v>
      </c>
      <c r="H186" s="103">
        <v>164.92000000000002</v>
      </c>
      <c r="I186" s="104">
        <f t="shared" si="2"/>
        <v>1600.9543414989084</v>
      </c>
    </row>
    <row r="187" spans="1:9" x14ac:dyDescent="0.35">
      <c r="A187" s="23">
        <v>8</v>
      </c>
      <c r="B187" s="100">
        <v>637</v>
      </c>
      <c r="C187" s="17">
        <v>8</v>
      </c>
      <c r="D187" s="22" t="s">
        <v>351</v>
      </c>
      <c r="E187" s="101">
        <v>24131.66</v>
      </c>
      <c r="F187" s="102">
        <v>0</v>
      </c>
      <c r="G187" s="102">
        <v>24131.66</v>
      </c>
      <c r="H187" s="103">
        <v>11.1622</v>
      </c>
      <c r="I187" s="104">
        <f t="shared" si="2"/>
        <v>2161.9089426815503</v>
      </c>
    </row>
    <row r="188" spans="1:9" x14ac:dyDescent="0.35">
      <c r="A188" s="23">
        <v>8</v>
      </c>
      <c r="B188" s="100">
        <v>638</v>
      </c>
      <c r="C188" s="17">
        <v>8</v>
      </c>
      <c r="D188" s="22" t="s">
        <v>208</v>
      </c>
      <c r="E188" s="101">
        <v>19979.61</v>
      </c>
      <c r="F188" s="102">
        <v>0</v>
      </c>
      <c r="G188" s="102">
        <v>19979.61</v>
      </c>
      <c r="H188" s="103">
        <v>11.482586231848504</v>
      </c>
      <c r="I188" s="104">
        <f t="shared" si="2"/>
        <v>1739.9921582634279</v>
      </c>
    </row>
    <row r="189" spans="1:9" x14ac:dyDescent="0.35">
      <c r="A189" s="23">
        <v>8</v>
      </c>
      <c r="B189" s="100">
        <v>639</v>
      </c>
      <c r="C189" s="17">
        <v>8</v>
      </c>
      <c r="D189" s="22" t="s">
        <v>209</v>
      </c>
      <c r="E189" s="101">
        <v>19587.5</v>
      </c>
      <c r="F189" s="102">
        <v>0</v>
      </c>
      <c r="G189" s="102">
        <v>19587.5</v>
      </c>
      <c r="H189" s="103">
        <v>26.744088597118019</v>
      </c>
      <c r="I189" s="104">
        <f t="shared" si="2"/>
        <v>732.40484262046516</v>
      </c>
    </row>
    <row r="190" spans="1:9" x14ac:dyDescent="0.35">
      <c r="A190" s="23">
        <v>8</v>
      </c>
      <c r="B190" s="100">
        <v>645</v>
      </c>
      <c r="C190" s="17">
        <v>8</v>
      </c>
      <c r="D190" s="22" t="s">
        <v>210</v>
      </c>
      <c r="E190" s="101">
        <v>14942.85</v>
      </c>
      <c r="F190" s="102">
        <v>0</v>
      </c>
      <c r="G190" s="102">
        <v>14942.85</v>
      </c>
      <c r="H190" s="103">
        <v>4.4384178397046563</v>
      </c>
      <c r="I190" s="104">
        <f t="shared" si="2"/>
        <v>3366.7064570455891</v>
      </c>
    </row>
    <row r="191" spans="1:9" x14ac:dyDescent="0.35">
      <c r="A191" s="23">
        <v>8</v>
      </c>
      <c r="B191" s="100">
        <v>706</v>
      </c>
      <c r="C191" s="17">
        <v>8</v>
      </c>
      <c r="D191" s="22" t="s">
        <v>104</v>
      </c>
      <c r="E191" s="101">
        <v>63477.03</v>
      </c>
      <c r="F191" s="102">
        <v>0</v>
      </c>
      <c r="G191" s="102">
        <v>63477.03</v>
      </c>
      <c r="H191" s="103">
        <v>56.018113935987294</v>
      </c>
      <c r="I191" s="104">
        <f t="shared" si="2"/>
        <v>1133.1518599954313</v>
      </c>
    </row>
    <row r="192" spans="1:9" x14ac:dyDescent="0.35">
      <c r="A192" s="23">
        <v>8</v>
      </c>
      <c r="B192" s="100">
        <v>709</v>
      </c>
      <c r="C192" s="17">
        <v>8</v>
      </c>
      <c r="D192" s="22" t="s">
        <v>297</v>
      </c>
      <c r="E192" s="101">
        <v>43632.11</v>
      </c>
      <c r="F192" s="102">
        <v>0</v>
      </c>
      <c r="G192" s="102">
        <v>43632.11</v>
      </c>
      <c r="H192" s="103">
        <v>69.808973502441347</v>
      </c>
      <c r="I192" s="104">
        <f t="shared" si="2"/>
        <v>625.02150956959861</v>
      </c>
    </row>
    <row r="193" spans="1:9" x14ac:dyDescent="0.35">
      <c r="A193" s="23"/>
      <c r="B193" s="100">
        <v>714</v>
      </c>
      <c r="C193" s="17">
        <v>8</v>
      </c>
      <c r="D193" s="22" t="s">
        <v>211</v>
      </c>
      <c r="E193" s="101">
        <v>63101.23</v>
      </c>
      <c r="F193" s="102">
        <v>0</v>
      </c>
      <c r="G193" s="102">
        <v>63101.23</v>
      </c>
      <c r="H193" s="103">
        <v>55.79475654400381</v>
      </c>
      <c r="I193" s="104">
        <f t="shared" si="2"/>
        <v>1130.9526899760513</v>
      </c>
    </row>
    <row r="194" spans="1:9" x14ac:dyDescent="0.35">
      <c r="A194" s="23">
        <v>8</v>
      </c>
      <c r="B194" s="100">
        <v>749</v>
      </c>
      <c r="C194" s="17">
        <v>8</v>
      </c>
      <c r="D194" s="22" t="s">
        <v>212</v>
      </c>
      <c r="E194" s="101">
        <v>4690.4399999999996</v>
      </c>
      <c r="F194" s="102">
        <v>0</v>
      </c>
      <c r="G194" s="102">
        <v>4690.4399999999996</v>
      </c>
      <c r="H194" s="103">
        <v>25.180157901631535</v>
      </c>
      <c r="I194" s="104">
        <f t="shared" si="2"/>
        <v>186.27524173293946</v>
      </c>
    </row>
    <row r="195" spans="1:9" x14ac:dyDescent="0.35">
      <c r="A195" s="23">
        <v>8</v>
      </c>
      <c r="B195" s="100">
        <v>764</v>
      </c>
      <c r="C195" s="17">
        <v>8</v>
      </c>
      <c r="D195" s="22" t="s">
        <v>213</v>
      </c>
      <c r="E195" s="101">
        <v>11682.68</v>
      </c>
      <c r="F195" s="102">
        <v>0</v>
      </c>
      <c r="G195" s="102">
        <v>11682.68</v>
      </c>
      <c r="H195" s="103">
        <v>15.2</v>
      </c>
      <c r="I195" s="104">
        <f t="shared" si="2"/>
        <v>768.59736842105269</v>
      </c>
    </row>
    <row r="196" spans="1:9" x14ac:dyDescent="0.35">
      <c r="A196" s="23">
        <v>8</v>
      </c>
      <c r="B196" s="100">
        <v>775</v>
      </c>
      <c r="C196" s="17">
        <v>8</v>
      </c>
      <c r="D196" s="22" t="s">
        <v>214</v>
      </c>
      <c r="E196" s="101">
        <v>118004.07</v>
      </c>
      <c r="F196" s="102">
        <v>0</v>
      </c>
      <c r="G196" s="102">
        <v>118004.07</v>
      </c>
      <c r="H196" s="103">
        <v>170.52697234009614</v>
      </c>
      <c r="I196" s="104">
        <f t="shared" si="2"/>
        <v>691.99651164071963</v>
      </c>
    </row>
    <row r="197" spans="1:9" x14ac:dyDescent="0.35">
      <c r="A197" s="23">
        <v>8</v>
      </c>
      <c r="B197" s="100">
        <v>790</v>
      </c>
      <c r="C197" s="17">
        <v>8</v>
      </c>
      <c r="D197" s="22" t="s">
        <v>352</v>
      </c>
      <c r="E197" s="101">
        <v>8112.34</v>
      </c>
      <c r="F197" s="102">
        <v>0</v>
      </c>
      <c r="G197" s="102">
        <v>8112.34</v>
      </c>
      <c r="H197" s="103">
        <v>9.7918986885088461</v>
      </c>
      <c r="I197" s="104">
        <f t="shared" ref="I197:I257" si="3">IFERROR(G197/H197,0)</f>
        <v>828.47466646281077</v>
      </c>
    </row>
    <row r="198" spans="1:9" x14ac:dyDescent="0.35">
      <c r="A198" s="23">
        <v>8</v>
      </c>
      <c r="B198" s="100">
        <v>795</v>
      </c>
      <c r="C198" s="17">
        <v>8</v>
      </c>
      <c r="D198" s="22" t="s">
        <v>353</v>
      </c>
      <c r="E198" s="101">
        <v>292287.77</v>
      </c>
      <c r="F198" s="102">
        <v>18326.8</v>
      </c>
      <c r="G198" s="102">
        <v>273960.97000000003</v>
      </c>
      <c r="H198" s="103">
        <v>254.70912293554989</v>
      </c>
      <c r="I198" s="104">
        <f t="shared" si="3"/>
        <v>1075.5836573208314</v>
      </c>
    </row>
    <row r="199" spans="1:9" x14ac:dyDescent="0.35">
      <c r="A199" s="23">
        <v>8</v>
      </c>
      <c r="B199" s="100">
        <v>796</v>
      </c>
      <c r="C199" s="17">
        <v>8</v>
      </c>
      <c r="D199" s="22" t="s">
        <v>217</v>
      </c>
      <c r="E199" s="101">
        <v>22596.76</v>
      </c>
      <c r="F199" s="102">
        <v>0</v>
      </c>
      <c r="G199" s="102">
        <v>22596.76</v>
      </c>
      <c r="H199" s="103">
        <v>32</v>
      </c>
      <c r="I199" s="104">
        <f t="shared" si="3"/>
        <v>706.14874999999995</v>
      </c>
    </row>
    <row r="200" spans="1:9" x14ac:dyDescent="0.35">
      <c r="A200" s="23">
        <v>8</v>
      </c>
      <c r="B200" s="100">
        <v>797</v>
      </c>
      <c r="C200" s="17">
        <v>8</v>
      </c>
      <c r="D200" s="22" t="s">
        <v>218</v>
      </c>
      <c r="E200" s="101">
        <v>39985.18</v>
      </c>
      <c r="F200" s="102">
        <v>1159</v>
      </c>
      <c r="G200" s="102">
        <v>38826.18</v>
      </c>
      <c r="H200" s="103">
        <v>24.367612903417886</v>
      </c>
      <c r="I200" s="104">
        <f t="shared" si="3"/>
        <v>1593.3518048685887</v>
      </c>
    </row>
    <row r="201" spans="1:9" x14ac:dyDescent="0.35">
      <c r="A201" s="23">
        <v>8</v>
      </c>
      <c r="B201" s="100">
        <v>801</v>
      </c>
      <c r="C201" s="17">
        <v>8</v>
      </c>
      <c r="D201" s="22" t="s">
        <v>219</v>
      </c>
      <c r="E201" s="101">
        <v>96738.85</v>
      </c>
      <c r="F201" s="102">
        <v>0</v>
      </c>
      <c r="G201" s="102">
        <v>96738.85</v>
      </c>
      <c r="H201" s="103">
        <v>135.0746846492795</v>
      </c>
      <c r="I201" s="104">
        <f t="shared" si="3"/>
        <v>716.18786489253534</v>
      </c>
    </row>
    <row r="202" spans="1:9" x14ac:dyDescent="0.35">
      <c r="A202" s="23">
        <v>8</v>
      </c>
      <c r="B202" s="100">
        <v>809</v>
      </c>
      <c r="C202" s="17">
        <v>8</v>
      </c>
      <c r="D202" s="22" t="s">
        <v>348</v>
      </c>
      <c r="E202" s="101">
        <v>495521.19</v>
      </c>
      <c r="F202" s="102">
        <v>0</v>
      </c>
      <c r="G202" s="102">
        <v>495521.19</v>
      </c>
      <c r="H202" s="103">
        <v>348.46479174516446</v>
      </c>
      <c r="I202" s="104">
        <f t="shared" si="3"/>
        <v>1422.0122139696089</v>
      </c>
    </row>
    <row r="203" spans="1:9" x14ac:dyDescent="0.35">
      <c r="A203" s="23">
        <v>8</v>
      </c>
      <c r="B203" s="100">
        <v>810</v>
      </c>
      <c r="C203" s="17">
        <v>8</v>
      </c>
      <c r="D203" s="22" t="s">
        <v>221</v>
      </c>
      <c r="E203" s="101">
        <v>140596.89000000001</v>
      </c>
      <c r="F203" s="102">
        <v>0</v>
      </c>
      <c r="G203" s="102">
        <v>140596.89000000001</v>
      </c>
      <c r="H203" s="103">
        <v>124.98999999999998</v>
      </c>
      <c r="I203" s="104">
        <f t="shared" si="3"/>
        <v>1124.8651092087371</v>
      </c>
    </row>
    <row r="204" spans="1:9" x14ac:dyDescent="0.35">
      <c r="A204" s="23">
        <v>8</v>
      </c>
      <c r="B204" s="100">
        <v>812</v>
      </c>
      <c r="C204" s="17">
        <v>8</v>
      </c>
      <c r="D204" s="22" t="s">
        <v>222</v>
      </c>
      <c r="E204" s="101">
        <v>81577.919999999998</v>
      </c>
      <c r="F204" s="102">
        <v>273</v>
      </c>
      <c r="G204" s="102">
        <v>81304.92</v>
      </c>
      <c r="H204" s="103">
        <v>42.133342486310362</v>
      </c>
      <c r="I204" s="104">
        <f t="shared" si="3"/>
        <v>1929.7049605408581</v>
      </c>
    </row>
    <row r="205" spans="1:9" x14ac:dyDescent="0.35">
      <c r="A205" s="23">
        <v>8</v>
      </c>
      <c r="B205" s="100">
        <v>818</v>
      </c>
      <c r="C205" s="17">
        <v>8</v>
      </c>
      <c r="D205" s="22" t="s">
        <v>223</v>
      </c>
      <c r="E205" s="101">
        <v>15868.89</v>
      </c>
      <c r="F205" s="102">
        <v>0</v>
      </c>
      <c r="G205" s="102">
        <v>15868.89</v>
      </c>
      <c r="H205" s="103">
        <v>39.648701095629384</v>
      </c>
      <c r="I205" s="104">
        <f t="shared" si="3"/>
        <v>400.23732332934566</v>
      </c>
    </row>
    <row r="206" spans="1:9" x14ac:dyDescent="0.35">
      <c r="A206" s="23">
        <v>8</v>
      </c>
      <c r="B206" s="100">
        <v>833</v>
      </c>
      <c r="C206" s="17">
        <v>8</v>
      </c>
      <c r="D206" s="22" t="s">
        <v>224</v>
      </c>
      <c r="E206" s="101">
        <v>37349.99</v>
      </c>
      <c r="F206" s="102">
        <v>0</v>
      </c>
      <c r="G206" s="102">
        <v>37349.99</v>
      </c>
      <c r="H206" s="103">
        <v>61.805842122186505</v>
      </c>
      <c r="I206" s="104">
        <f t="shared" si="3"/>
        <v>604.31164300231148</v>
      </c>
    </row>
    <row r="207" spans="1:9" x14ac:dyDescent="0.35">
      <c r="A207" s="23">
        <v>8</v>
      </c>
      <c r="B207" s="100">
        <v>834</v>
      </c>
      <c r="C207" s="17">
        <v>8</v>
      </c>
      <c r="D207" s="22" t="s">
        <v>225</v>
      </c>
      <c r="E207" s="101">
        <v>55123.19</v>
      </c>
      <c r="F207" s="102">
        <v>3760.4799999999996</v>
      </c>
      <c r="G207" s="102">
        <v>51362.710000000006</v>
      </c>
      <c r="H207" s="103">
        <v>74.23</v>
      </c>
      <c r="I207" s="104">
        <f t="shared" si="3"/>
        <v>691.94005119224039</v>
      </c>
    </row>
    <row r="208" spans="1:9" x14ac:dyDescent="0.35">
      <c r="A208" s="23">
        <v>8</v>
      </c>
      <c r="B208" s="100">
        <v>837</v>
      </c>
      <c r="C208" s="17">
        <v>8</v>
      </c>
      <c r="D208" s="22" t="s">
        <v>226</v>
      </c>
      <c r="E208" s="101">
        <v>142476.71</v>
      </c>
      <c r="F208" s="102">
        <v>0</v>
      </c>
      <c r="G208" s="102">
        <v>142476.71</v>
      </c>
      <c r="H208" s="103">
        <v>176.99</v>
      </c>
      <c r="I208" s="104">
        <f t="shared" si="3"/>
        <v>804.99864399118587</v>
      </c>
    </row>
    <row r="209" spans="1:9" x14ac:dyDescent="0.35">
      <c r="A209" s="23">
        <v>8</v>
      </c>
      <c r="B209" s="100">
        <v>845</v>
      </c>
      <c r="C209" s="17">
        <v>8</v>
      </c>
      <c r="D209" s="22" t="s">
        <v>298</v>
      </c>
      <c r="E209" s="101">
        <v>8943.76</v>
      </c>
      <c r="F209" s="102">
        <v>0</v>
      </c>
      <c r="G209" s="102">
        <v>8943.76</v>
      </c>
      <c r="H209" s="103">
        <v>4.1985407326268138</v>
      </c>
      <c r="I209" s="104">
        <f t="shared" si="3"/>
        <v>2130.2067955416364</v>
      </c>
    </row>
    <row r="210" spans="1:9" x14ac:dyDescent="0.35">
      <c r="A210" s="23">
        <v>8</v>
      </c>
      <c r="B210" s="100">
        <v>847</v>
      </c>
      <c r="C210" s="17">
        <v>8</v>
      </c>
      <c r="D210" s="22" t="s">
        <v>227</v>
      </c>
      <c r="E210" s="101">
        <v>131761.98000000001</v>
      </c>
      <c r="F210" s="102">
        <v>0</v>
      </c>
      <c r="G210" s="102">
        <v>131761.98000000001</v>
      </c>
      <c r="H210" s="103">
        <v>66.183100660950345</v>
      </c>
      <c r="I210" s="104">
        <f t="shared" si="3"/>
        <v>1990.8704591373553</v>
      </c>
    </row>
    <row r="211" spans="1:9" x14ac:dyDescent="0.35">
      <c r="A211" s="23">
        <v>8</v>
      </c>
      <c r="B211" s="100">
        <v>866</v>
      </c>
      <c r="C211" s="17">
        <v>8</v>
      </c>
      <c r="D211" s="22" t="s">
        <v>228</v>
      </c>
      <c r="E211" s="101">
        <v>54975.040000000001</v>
      </c>
      <c r="F211" s="102">
        <v>0</v>
      </c>
      <c r="G211" s="102">
        <v>54975.040000000001</v>
      </c>
      <c r="H211" s="103">
        <v>147.75213403001072</v>
      </c>
      <c r="I211" s="104">
        <f t="shared" si="3"/>
        <v>372.07611491305926</v>
      </c>
    </row>
    <row r="212" spans="1:9" x14ac:dyDescent="0.35">
      <c r="A212" s="23">
        <v>8</v>
      </c>
      <c r="B212" s="100">
        <v>871</v>
      </c>
      <c r="C212" s="17">
        <v>8</v>
      </c>
      <c r="D212" s="22" t="s">
        <v>229</v>
      </c>
      <c r="E212" s="101">
        <v>12724.9</v>
      </c>
      <c r="F212" s="102">
        <v>0</v>
      </c>
      <c r="G212" s="102">
        <v>12724.9</v>
      </c>
      <c r="H212" s="103">
        <v>12.214386102179351</v>
      </c>
      <c r="I212" s="104">
        <f t="shared" si="3"/>
        <v>1041.7961159529386</v>
      </c>
    </row>
    <row r="213" spans="1:9" x14ac:dyDescent="0.35">
      <c r="A213" s="23">
        <v>8</v>
      </c>
      <c r="B213" s="100">
        <v>873</v>
      </c>
      <c r="C213" s="17">
        <v>8</v>
      </c>
      <c r="D213" s="22" t="s">
        <v>230</v>
      </c>
      <c r="E213" s="101">
        <v>74605.5</v>
      </c>
      <c r="F213" s="102">
        <v>0</v>
      </c>
      <c r="G213" s="102">
        <v>74605.5</v>
      </c>
      <c r="H213" s="103">
        <v>185.67000000000002</v>
      </c>
      <c r="I213" s="104">
        <f t="shared" si="3"/>
        <v>401.81774115365971</v>
      </c>
    </row>
    <row r="214" spans="1:9" x14ac:dyDescent="0.35">
      <c r="A214" s="23">
        <v>8</v>
      </c>
      <c r="B214" s="100">
        <v>897</v>
      </c>
      <c r="C214" s="17">
        <v>8</v>
      </c>
      <c r="D214" s="22" t="s">
        <v>231</v>
      </c>
      <c r="E214" s="101">
        <v>311526.77</v>
      </c>
      <c r="F214" s="102">
        <v>84</v>
      </c>
      <c r="G214" s="102">
        <v>311442.77</v>
      </c>
      <c r="H214" s="103">
        <v>72.361426854937321</v>
      </c>
      <c r="I214" s="104">
        <f t="shared" si="3"/>
        <v>4303.9887898334036</v>
      </c>
    </row>
    <row r="215" spans="1:9" x14ac:dyDescent="0.35">
      <c r="A215" s="23">
        <v>8</v>
      </c>
      <c r="B215" s="100">
        <v>905</v>
      </c>
      <c r="C215" s="17">
        <v>8</v>
      </c>
      <c r="D215" s="22" t="s">
        <v>232</v>
      </c>
      <c r="E215" s="101">
        <v>62186.54</v>
      </c>
      <c r="F215" s="102">
        <v>0</v>
      </c>
      <c r="G215" s="102">
        <v>62186.54</v>
      </c>
      <c r="H215" s="103">
        <v>93.093193074907703</v>
      </c>
      <c r="I215" s="104">
        <f t="shared" si="3"/>
        <v>668.00308321105092</v>
      </c>
    </row>
    <row r="216" spans="1:9" x14ac:dyDescent="0.35">
      <c r="A216" s="23">
        <v>8</v>
      </c>
      <c r="B216" s="100">
        <v>907</v>
      </c>
      <c r="C216" s="17">
        <v>8</v>
      </c>
      <c r="D216" s="22" t="s">
        <v>233</v>
      </c>
      <c r="E216" s="101">
        <v>20189.84</v>
      </c>
      <c r="F216" s="102">
        <v>0</v>
      </c>
      <c r="G216" s="102">
        <v>20189.84</v>
      </c>
      <c r="H216" s="103">
        <v>19.623398559009171</v>
      </c>
      <c r="I216" s="104">
        <f t="shared" si="3"/>
        <v>1028.8656136340244</v>
      </c>
    </row>
    <row r="217" spans="1:9" x14ac:dyDescent="0.35">
      <c r="A217" s="23">
        <v>8</v>
      </c>
      <c r="B217" s="100">
        <v>918</v>
      </c>
      <c r="C217" s="17">
        <v>8</v>
      </c>
      <c r="D217" s="22" t="s">
        <v>235</v>
      </c>
      <c r="E217" s="101">
        <v>92014.79</v>
      </c>
      <c r="F217" s="102">
        <v>0</v>
      </c>
      <c r="G217" s="102">
        <v>92014.79</v>
      </c>
      <c r="H217" s="103">
        <v>61.65731239133023</v>
      </c>
      <c r="I217" s="104">
        <f t="shared" si="3"/>
        <v>1492.358106950805</v>
      </c>
    </row>
    <row r="218" spans="1:9" x14ac:dyDescent="0.35">
      <c r="A218" s="23">
        <v>8</v>
      </c>
      <c r="B218" s="100">
        <v>922</v>
      </c>
      <c r="C218" s="17">
        <v>8</v>
      </c>
      <c r="D218" s="22" t="s">
        <v>236</v>
      </c>
      <c r="E218" s="101">
        <v>133724.62</v>
      </c>
      <c r="F218" s="102">
        <v>5755.5599999999995</v>
      </c>
      <c r="G218" s="102">
        <v>127969.06</v>
      </c>
      <c r="H218" s="103">
        <v>48.13</v>
      </c>
      <c r="I218" s="104">
        <f t="shared" si="3"/>
        <v>2658.8211094951171</v>
      </c>
    </row>
    <row r="219" spans="1:9" x14ac:dyDescent="0.35">
      <c r="A219" s="23">
        <v>8</v>
      </c>
      <c r="B219" s="100">
        <v>924</v>
      </c>
      <c r="C219" s="17">
        <v>8</v>
      </c>
      <c r="D219" s="22" t="s">
        <v>237</v>
      </c>
      <c r="E219" s="101">
        <v>60061.57</v>
      </c>
      <c r="F219" s="102">
        <v>0</v>
      </c>
      <c r="G219" s="102">
        <v>60061.57</v>
      </c>
      <c r="H219" s="103">
        <v>94.709546028343453</v>
      </c>
      <c r="I219" s="104">
        <f t="shared" si="3"/>
        <v>634.1659581181558</v>
      </c>
    </row>
    <row r="220" spans="1:9" x14ac:dyDescent="0.35">
      <c r="A220" s="23">
        <v>9</v>
      </c>
      <c r="B220" s="100">
        <v>929</v>
      </c>
      <c r="C220" s="17">
        <v>8</v>
      </c>
      <c r="D220" s="22" t="s">
        <v>238</v>
      </c>
      <c r="E220" s="101">
        <v>45278.1</v>
      </c>
      <c r="F220" s="102">
        <v>0</v>
      </c>
      <c r="G220" s="102">
        <v>45278.1</v>
      </c>
      <c r="H220" s="103">
        <v>53.697866226033099</v>
      </c>
      <c r="I220" s="104">
        <f t="shared" si="3"/>
        <v>843.20110243130785</v>
      </c>
    </row>
    <row r="221" spans="1:9" x14ac:dyDescent="0.35">
      <c r="A221" s="23">
        <v>9</v>
      </c>
      <c r="B221" s="100">
        <v>955</v>
      </c>
      <c r="C221" s="17">
        <v>8</v>
      </c>
      <c r="D221" s="22" t="s">
        <v>239</v>
      </c>
      <c r="E221" s="101">
        <v>25073.62</v>
      </c>
      <c r="F221" s="102">
        <v>0</v>
      </c>
      <c r="G221" s="102">
        <v>25073.62</v>
      </c>
      <c r="H221" s="103">
        <v>50.276820820063051</v>
      </c>
      <c r="I221" s="104">
        <f t="shared" si="3"/>
        <v>498.71132643284255</v>
      </c>
    </row>
    <row r="222" spans="1:9" x14ac:dyDescent="0.35">
      <c r="A222" s="23">
        <v>9</v>
      </c>
      <c r="B222" s="100">
        <v>973</v>
      </c>
      <c r="C222" s="17">
        <v>8</v>
      </c>
      <c r="D222" s="22" t="s">
        <v>240</v>
      </c>
      <c r="E222" s="101">
        <v>8741.84</v>
      </c>
      <c r="F222" s="102">
        <v>0</v>
      </c>
      <c r="G222" s="102">
        <v>8741.84</v>
      </c>
      <c r="H222" s="103">
        <v>8.1012111451691897</v>
      </c>
      <c r="I222" s="104">
        <f t="shared" si="3"/>
        <v>1079.0781579878735</v>
      </c>
    </row>
    <row r="223" spans="1:9" x14ac:dyDescent="0.35">
      <c r="A223" s="23">
        <v>9</v>
      </c>
      <c r="B223" s="100">
        <v>974</v>
      </c>
      <c r="C223" s="17">
        <v>8</v>
      </c>
      <c r="D223" s="22" t="s">
        <v>241</v>
      </c>
      <c r="E223" s="101">
        <v>15310.94</v>
      </c>
      <c r="F223" s="102">
        <v>0</v>
      </c>
      <c r="G223" s="102">
        <v>15310.94</v>
      </c>
      <c r="H223" s="103">
        <v>17.47</v>
      </c>
      <c r="I223" s="104">
        <f t="shared" si="3"/>
        <v>876.41327990841455</v>
      </c>
    </row>
    <row r="224" spans="1:9" x14ac:dyDescent="0.35">
      <c r="A224" s="23">
        <v>9</v>
      </c>
      <c r="B224" s="100">
        <v>978</v>
      </c>
      <c r="C224" s="17">
        <v>8</v>
      </c>
      <c r="D224" s="22" t="s">
        <v>242</v>
      </c>
      <c r="E224" s="101">
        <v>28052.51</v>
      </c>
      <c r="F224" s="102">
        <v>0</v>
      </c>
      <c r="G224" s="102">
        <v>28052.51</v>
      </c>
      <c r="H224" s="103">
        <v>25.008086578565759</v>
      </c>
      <c r="I224" s="104">
        <f t="shared" si="3"/>
        <v>1121.7375592438805</v>
      </c>
    </row>
    <row r="225" spans="1:9" x14ac:dyDescent="0.35">
      <c r="A225" s="23">
        <v>9</v>
      </c>
      <c r="B225" s="100">
        <v>985</v>
      </c>
      <c r="C225" s="17">
        <v>8</v>
      </c>
      <c r="D225" s="22" t="s">
        <v>243</v>
      </c>
      <c r="E225" s="101">
        <v>119730.94</v>
      </c>
      <c r="F225" s="102">
        <v>0</v>
      </c>
      <c r="G225" s="102">
        <v>119730.94</v>
      </c>
      <c r="H225" s="103">
        <v>65.667615124449199</v>
      </c>
      <c r="I225" s="104">
        <f t="shared" si="3"/>
        <v>1823.2874724183805</v>
      </c>
    </row>
    <row r="226" spans="1:9" x14ac:dyDescent="0.35">
      <c r="A226" s="23">
        <v>9</v>
      </c>
      <c r="B226" s="100">
        <v>100</v>
      </c>
      <c r="C226" s="17">
        <v>9</v>
      </c>
      <c r="D226" s="22" t="s">
        <v>244</v>
      </c>
      <c r="E226" s="101">
        <v>31057.59</v>
      </c>
      <c r="F226" s="102">
        <v>0</v>
      </c>
      <c r="G226" s="102">
        <v>31057.59</v>
      </c>
      <c r="H226" s="103">
        <v>28.459906979550897</v>
      </c>
      <c r="I226" s="104">
        <f t="shared" si="3"/>
        <v>1091.2751760684109</v>
      </c>
    </row>
    <row r="227" spans="1:9" x14ac:dyDescent="0.35">
      <c r="A227" s="23">
        <v>9</v>
      </c>
      <c r="B227" s="100">
        <v>159</v>
      </c>
      <c r="C227" s="17">
        <v>9</v>
      </c>
      <c r="D227" s="22" t="s">
        <v>245</v>
      </c>
      <c r="E227" s="101">
        <v>166217.32</v>
      </c>
      <c r="F227" s="102">
        <v>0</v>
      </c>
      <c r="G227" s="102">
        <v>166217.32</v>
      </c>
      <c r="H227" s="103">
        <v>721.93312534833865</v>
      </c>
      <c r="I227" s="104">
        <f t="shared" si="3"/>
        <v>230.2392204538319</v>
      </c>
    </row>
    <row r="228" spans="1:9" x14ac:dyDescent="0.35">
      <c r="A228" s="23">
        <v>9</v>
      </c>
      <c r="B228" s="100">
        <v>173</v>
      </c>
      <c r="C228" s="17">
        <v>9</v>
      </c>
      <c r="D228" s="22" t="s">
        <v>246</v>
      </c>
      <c r="E228" s="101">
        <v>188734.3</v>
      </c>
      <c r="F228" s="102">
        <v>0</v>
      </c>
      <c r="G228" s="102">
        <v>188734.3</v>
      </c>
      <c r="H228" s="103">
        <v>317.52000000000004</v>
      </c>
      <c r="I228" s="104">
        <f t="shared" si="3"/>
        <v>594.40129755605938</v>
      </c>
    </row>
    <row r="229" spans="1:9" x14ac:dyDescent="0.35">
      <c r="A229" s="23">
        <v>9</v>
      </c>
      <c r="B229" s="100">
        <v>204</v>
      </c>
      <c r="C229" s="17">
        <v>9</v>
      </c>
      <c r="D229" s="22" t="s">
        <v>247</v>
      </c>
      <c r="E229" s="101">
        <v>526325.63</v>
      </c>
      <c r="F229" s="102">
        <v>0</v>
      </c>
      <c r="G229" s="102">
        <v>526325.63</v>
      </c>
      <c r="H229" s="103">
        <v>445.31300985280456</v>
      </c>
      <c r="I229" s="104">
        <f t="shared" si="3"/>
        <v>1181.9228685323469</v>
      </c>
    </row>
    <row r="230" spans="1:9" x14ac:dyDescent="0.35">
      <c r="A230" s="23">
        <v>9</v>
      </c>
      <c r="B230" s="100">
        <v>218</v>
      </c>
      <c r="C230" s="17">
        <v>9</v>
      </c>
      <c r="D230" s="22" t="s">
        <v>248</v>
      </c>
      <c r="E230" s="101">
        <v>202407.39</v>
      </c>
      <c r="F230" s="102">
        <v>240</v>
      </c>
      <c r="G230" s="102">
        <v>202167.39</v>
      </c>
      <c r="H230" s="103">
        <v>234.26633373228532</v>
      </c>
      <c r="I230" s="104">
        <f t="shared" si="3"/>
        <v>862.98097886755124</v>
      </c>
    </row>
    <row r="231" spans="1:9" x14ac:dyDescent="0.35">
      <c r="A231" s="23">
        <v>9</v>
      </c>
      <c r="B231" s="100">
        <v>230</v>
      </c>
      <c r="C231" s="17">
        <v>9</v>
      </c>
      <c r="D231" s="22" t="s">
        <v>249</v>
      </c>
      <c r="E231" s="101">
        <v>102952.81</v>
      </c>
      <c r="F231" s="102">
        <v>1799.3000000000002</v>
      </c>
      <c r="G231" s="102">
        <v>101153.51</v>
      </c>
      <c r="H231" s="103">
        <v>137.3463158270811</v>
      </c>
      <c r="I231" s="104">
        <f t="shared" si="3"/>
        <v>736.48506252874074</v>
      </c>
    </row>
    <row r="232" spans="1:9" x14ac:dyDescent="0.35">
      <c r="A232" s="23">
        <v>9</v>
      </c>
      <c r="B232" s="100">
        <v>277</v>
      </c>
      <c r="C232" s="17">
        <v>9</v>
      </c>
      <c r="D232" s="22" t="s">
        <v>250</v>
      </c>
      <c r="E232" s="101">
        <v>193093.73</v>
      </c>
      <c r="F232" s="102">
        <v>5454.62</v>
      </c>
      <c r="G232" s="102">
        <v>187639.11000000002</v>
      </c>
      <c r="H232" s="103">
        <v>77.20924891627962</v>
      </c>
      <c r="I232" s="104">
        <f t="shared" si="3"/>
        <v>2430.2672624553429</v>
      </c>
    </row>
    <row r="233" spans="1:9" x14ac:dyDescent="0.35">
      <c r="A233" s="23">
        <v>9</v>
      </c>
      <c r="B233" s="100">
        <v>279</v>
      </c>
      <c r="C233" s="17">
        <v>9</v>
      </c>
      <c r="D233" s="22" t="s">
        <v>251</v>
      </c>
      <c r="E233" s="101">
        <v>185521.99</v>
      </c>
      <c r="F233" s="102">
        <v>796</v>
      </c>
      <c r="G233" s="102">
        <v>184725.99</v>
      </c>
      <c r="H233" s="103">
        <v>281.14056938192209</v>
      </c>
      <c r="I233" s="104">
        <f t="shared" si="3"/>
        <v>657.05917294723326</v>
      </c>
    </row>
    <row r="234" spans="1:9" x14ac:dyDescent="0.35">
      <c r="A234" s="23">
        <v>9</v>
      </c>
      <c r="B234" s="100">
        <v>331</v>
      </c>
      <c r="C234" s="17">
        <v>9</v>
      </c>
      <c r="D234" s="22" t="s">
        <v>252</v>
      </c>
      <c r="E234" s="101">
        <v>160212.76999999999</v>
      </c>
      <c r="F234" s="102">
        <v>0</v>
      </c>
      <c r="G234" s="102">
        <v>160212.76999999999</v>
      </c>
      <c r="H234" s="103">
        <v>442.75839063951412</v>
      </c>
      <c r="I234" s="104">
        <f t="shared" si="3"/>
        <v>361.85145981895653</v>
      </c>
    </row>
    <row r="235" spans="1:9" x14ac:dyDescent="0.35">
      <c r="A235" s="23">
        <v>9</v>
      </c>
      <c r="B235" s="100">
        <v>369</v>
      </c>
      <c r="C235" s="17">
        <v>9</v>
      </c>
      <c r="D235" s="22" t="s">
        <v>253</v>
      </c>
      <c r="E235" s="101">
        <v>439717.41</v>
      </c>
      <c r="F235" s="102">
        <v>0</v>
      </c>
      <c r="G235" s="102">
        <v>439717.41</v>
      </c>
      <c r="H235" s="103">
        <v>372.33</v>
      </c>
      <c r="I235" s="104">
        <f t="shared" si="3"/>
        <v>1180.9883973894125</v>
      </c>
    </row>
    <row r="236" spans="1:9" x14ac:dyDescent="0.35">
      <c r="A236" s="23">
        <v>9</v>
      </c>
      <c r="B236" s="100">
        <v>416</v>
      </c>
      <c r="C236" s="17">
        <v>9</v>
      </c>
      <c r="D236" s="22" t="s">
        <v>254</v>
      </c>
      <c r="E236" s="101">
        <v>63073.1</v>
      </c>
      <c r="F236" s="102">
        <v>67.5</v>
      </c>
      <c r="G236" s="102">
        <v>63005.599999999999</v>
      </c>
      <c r="H236" s="103">
        <v>63.282402387757521</v>
      </c>
      <c r="I236" s="104">
        <f t="shared" si="3"/>
        <v>995.62591846527187</v>
      </c>
    </row>
    <row r="237" spans="1:9" x14ac:dyDescent="0.35">
      <c r="A237" s="23">
        <v>9</v>
      </c>
      <c r="B237" s="100">
        <v>420</v>
      </c>
      <c r="C237" s="17">
        <v>9</v>
      </c>
      <c r="D237" s="22" t="s">
        <v>255</v>
      </c>
      <c r="E237" s="101">
        <v>176959.11</v>
      </c>
      <c r="F237" s="102">
        <v>167</v>
      </c>
      <c r="G237" s="102">
        <v>176792.11</v>
      </c>
      <c r="H237" s="103">
        <v>342.99823535503288</v>
      </c>
      <c r="I237" s="104">
        <f t="shared" si="3"/>
        <v>515.43154388827929</v>
      </c>
    </row>
    <row r="238" spans="1:9" x14ac:dyDescent="0.35">
      <c r="A238" s="23"/>
      <c r="B238" s="100">
        <v>508</v>
      </c>
      <c r="C238" s="17">
        <v>9</v>
      </c>
      <c r="D238" s="22" t="s">
        <v>256</v>
      </c>
      <c r="E238" s="101">
        <v>78621.899999999994</v>
      </c>
      <c r="F238" s="102">
        <v>0</v>
      </c>
      <c r="G238" s="102">
        <v>78621.899999999994</v>
      </c>
      <c r="H238" s="103">
        <v>83.552342128140978</v>
      </c>
      <c r="I238" s="104">
        <f t="shared" si="3"/>
        <v>940.98977954945462</v>
      </c>
    </row>
    <row r="239" spans="1:9" x14ac:dyDescent="0.35">
      <c r="A239" s="23"/>
      <c r="B239" s="100">
        <v>512</v>
      </c>
      <c r="C239" s="17">
        <v>9</v>
      </c>
      <c r="D239" s="22" t="s">
        <v>257</v>
      </c>
      <c r="E239" s="101">
        <v>275963.07</v>
      </c>
      <c r="F239" s="102">
        <v>3670.08</v>
      </c>
      <c r="G239" s="102">
        <v>272292.99</v>
      </c>
      <c r="H239" s="103">
        <v>208.64932368107657</v>
      </c>
      <c r="I239" s="104">
        <f t="shared" si="3"/>
        <v>1305.026947588882</v>
      </c>
    </row>
    <row r="240" spans="1:9" x14ac:dyDescent="0.35">
      <c r="A240" s="23"/>
      <c r="B240" s="100">
        <v>516</v>
      </c>
      <c r="C240" s="17">
        <v>9</v>
      </c>
      <c r="D240" s="22" t="s">
        <v>258</v>
      </c>
      <c r="E240" s="101">
        <v>161888.84</v>
      </c>
      <c r="F240" s="102">
        <v>144.16</v>
      </c>
      <c r="G240" s="102">
        <v>161744.68</v>
      </c>
      <c r="H240" s="103">
        <v>310.85525259616531</v>
      </c>
      <c r="I240" s="104">
        <f t="shared" si="3"/>
        <v>520.32152794318029</v>
      </c>
    </row>
    <row r="241" spans="1:9" x14ac:dyDescent="0.35">
      <c r="A241" s="23"/>
      <c r="B241" s="100">
        <v>521</v>
      </c>
      <c r="C241" s="17">
        <v>9</v>
      </c>
      <c r="D241" s="22" t="s">
        <v>259</v>
      </c>
      <c r="E241" s="101">
        <v>379162.42</v>
      </c>
      <c r="F241" s="102">
        <v>79.650000000000006</v>
      </c>
      <c r="G241" s="102">
        <v>379082.76999999996</v>
      </c>
      <c r="H241" s="103">
        <v>125.15814085387638</v>
      </c>
      <c r="I241" s="104">
        <f t="shared" si="3"/>
        <v>3028.8303055139149</v>
      </c>
    </row>
    <row r="242" spans="1:9" x14ac:dyDescent="0.35">
      <c r="A242" s="23"/>
      <c r="B242" s="100">
        <v>522</v>
      </c>
      <c r="C242" s="17">
        <v>9</v>
      </c>
      <c r="D242" s="22" t="s">
        <v>260</v>
      </c>
      <c r="E242" s="101">
        <v>123348.86</v>
      </c>
      <c r="F242" s="102">
        <v>84</v>
      </c>
      <c r="G242" s="102">
        <v>123264.86</v>
      </c>
      <c r="H242" s="103">
        <v>76.169540800285816</v>
      </c>
      <c r="I242" s="104">
        <f t="shared" si="3"/>
        <v>1618.2959580023812</v>
      </c>
    </row>
    <row r="243" spans="1:9" x14ac:dyDescent="0.35">
      <c r="B243" s="100">
        <v>523</v>
      </c>
      <c r="C243" s="17">
        <v>9</v>
      </c>
      <c r="D243" s="22" t="s">
        <v>261</v>
      </c>
      <c r="E243" s="101">
        <v>315458.90999999997</v>
      </c>
      <c r="F243" s="102">
        <v>856.49</v>
      </c>
      <c r="G243" s="102">
        <v>314602.42</v>
      </c>
      <c r="H243" s="103">
        <v>698.36058335715143</v>
      </c>
      <c r="I243" s="104">
        <f t="shared" si="3"/>
        <v>450.48708002339799</v>
      </c>
    </row>
    <row r="244" spans="1:9" x14ac:dyDescent="0.35">
      <c r="B244" s="100">
        <v>527</v>
      </c>
      <c r="C244" s="17">
        <v>9</v>
      </c>
      <c r="D244" s="22" t="s">
        <v>262</v>
      </c>
      <c r="E244" s="101">
        <v>133668.4</v>
      </c>
      <c r="F244" s="102">
        <v>150</v>
      </c>
      <c r="G244" s="102">
        <v>133518.39999999999</v>
      </c>
      <c r="H244" s="103">
        <v>153.26520815767537</v>
      </c>
      <c r="I244" s="104">
        <f t="shared" si="3"/>
        <v>871.15922527335522</v>
      </c>
    </row>
    <row r="245" spans="1:9" x14ac:dyDescent="0.35">
      <c r="B245" s="100">
        <v>543</v>
      </c>
      <c r="C245" s="17">
        <v>9</v>
      </c>
      <c r="D245" s="22" t="s">
        <v>263</v>
      </c>
      <c r="E245" s="101">
        <v>46654.18</v>
      </c>
      <c r="F245" s="102">
        <v>0</v>
      </c>
      <c r="G245" s="102">
        <v>46654.18</v>
      </c>
      <c r="H245" s="103">
        <v>79.576987566988208</v>
      </c>
      <c r="I245" s="104">
        <f t="shared" si="3"/>
        <v>586.2772822447738</v>
      </c>
    </row>
    <row r="246" spans="1:9" x14ac:dyDescent="0.35">
      <c r="B246" s="100">
        <v>547</v>
      </c>
      <c r="C246" s="17">
        <v>9</v>
      </c>
      <c r="D246" s="22" t="s">
        <v>264</v>
      </c>
      <c r="E246" s="101">
        <v>122138.68</v>
      </c>
      <c r="F246" s="102">
        <v>0</v>
      </c>
      <c r="G246" s="102">
        <v>122138.68</v>
      </c>
      <c r="H246" s="103">
        <v>219.72789419435514</v>
      </c>
      <c r="I246" s="104">
        <f t="shared" si="3"/>
        <v>555.8633347296593</v>
      </c>
    </row>
    <row r="247" spans="1:9" x14ac:dyDescent="0.35">
      <c r="B247" s="100">
        <v>552</v>
      </c>
      <c r="C247" s="17">
        <v>9</v>
      </c>
      <c r="D247" s="22" t="s">
        <v>265</v>
      </c>
      <c r="E247" s="101">
        <v>142363.06</v>
      </c>
      <c r="F247" s="102">
        <v>0</v>
      </c>
      <c r="G247" s="102">
        <v>142363.06</v>
      </c>
      <c r="H247" s="103">
        <v>122.80000000000001</v>
      </c>
      <c r="I247" s="104">
        <f t="shared" si="3"/>
        <v>1159.3083061889249</v>
      </c>
    </row>
    <row r="248" spans="1:9" x14ac:dyDescent="0.35">
      <c r="B248" s="100">
        <v>567</v>
      </c>
      <c r="C248" s="17">
        <v>9</v>
      </c>
      <c r="D248" s="22" t="s">
        <v>266</v>
      </c>
      <c r="E248" s="101">
        <v>233157.95</v>
      </c>
      <c r="F248" s="102">
        <v>0</v>
      </c>
      <c r="G248" s="102">
        <v>233157.95</v>
      </c>
      <c r="H248" s="103">
        <v>359.29341894128856</v>
      </c>
      <c r="I248" s="104">
        <f t="shared" si="3"/>
        <v>648.93465259406798</v>
      </c>
    </row>
    <row r="249" spans="1:9" x14ac:dyDescent="0.35">
      <c r="B249" s="100">
        <v>629</v>
      </c>
      <c r="C249" s="17">
        <v>9</v>
      </c>
      <c r="D249" s="22" t="s">
        <v>267</v>
      </c>
      <c r="E249" s="101">
        <v>172741.52</v>
      </c>
      <c r="F249" s="102">
        <v>3864.35</v>
      </c>
      <c r="G249" s="102">
        <v>168877.16999999998</v>
      </c>
      <c r="H249" s="103">
        <v>239.08999999999997</v>
      </c>
      <c r="I249" s="104">
        <f t="shared" si="3"/>
        <v>706.33305449830607</v>
      </c>
    </row>
    <row r="250" spans="1:9" x14ac:dyDescent="0.35">
      <c r="B250" s="100">
        <v>630</v>
      </c>
      <c r="C250" s="17">
        <v>9</v>
      </c>
      <c r="D250" s="22" t="s">
        <v>268</v>
      </c>
      <c r="E250" s="101">
        <v>241664.73</v>
      </c>
      <c r="F250" s="102">
        <v>2804.11</v>
      </c>
      <c r="G250" s="102">
        <v>238860.62000000002</v>
      </c>
      <c r="H250" s="103">
        <v>168.82</v>
      </c>
      <c r="I250" s="104">
        <f t="shared" si="3"/>
        <v>1414.8834261343445</v>
      </c>
    </row>
    <row r="251" spans="1:9" x14ac:dyDescent="0.35">
      <c r="B251" s="100">
        <v>771</v>
      </c>
      <c r="C251" s="17">
        <v>9</v>
      </c>
      <c r="D251" s="22" t="s">
        <v>270</v>
      </c>
      <c r="E251" s="101">
        <v>70947.31</v>
      </c>
      <c r="F251" s="102">
        <v>0</v>
      </c>
      <c r="G251" s="102">
        <v>70947.31</v>
      </c>
      <c r="H251" s="103">
        <v>150.2159801536263</v>
      </c>
      <c r="I251" s="104">
        <f t="shared" si="3"/>
        <v>472.30201425601979</v>
      </c>
    </row>
    <row r="252" spans="1:9" x14ac:dyDescent="0.35">
      <c r="B252" s="100">
        <v>830</v>
      </c>
      <c r="C252" s="17">
        <v>9</v>
      </c>
      <c r="D252" s="22" t="s">
        <v>271</v>
      </c>
      <c r="E252" s="101">
        <v>29445.96</v>
      </c>
      <c r="F252" s="102">
        <v>0</v>
      </c>
      <c r="G252" s="102">
        <v>29445.96</v>
      </c>
      <c r="H252" s="103">
        <v>16.12858136239133</v>
      </c>
      <c r="I252" s="104">
        <f t="shared" si="3"/>
        <v>1825.7005584299043</v>
      </c>
    </row>
    <row r="253" spans="1:9" x14ac:dyDescent="0.35">
      <c r="B253" s="100">
        <v>936</v>
      </c>
      <c r="C253" s="17">
        <v>9</v>
      </c>
      <c r="D253" s="22" t="s">
        <v>272</v>
      </c>
      <c r="E253" s="101">
        <v>72884.08</v>
      </c>
      <c r="F253" s="102">
        <v>0</v>
      </c>
      <c r="G253" s="102">
        <v>72884.08</v>
      </c>
      <c r="H253" s="103">
        <v>40.443772007859948</v>
      </c>
      <c r="I253" s="104">
        <f t="shared" si="3"/>
        <v>1802.1088632839567</v>
      </c>
    </row>
    <row r="254" spans="1:9" x14ac:dyDescent="0.35">
      <c r="B254" s="100">
        <v>952</v>
      </c>
      <c r="C254" s="17">
        <v>9</v>
      </c>
      <c r="D254" s="22" t="s">
        <v>273</v>
      </c>
      <c r="E254" s="101">
        <v>71284.66</v>
      </c>
      <c r="F254" s="102">
        <v>1518.3</v>
      </c>
      <c r="G254" s="102">
        <v>69766.36</v>
      </c>
      <c r="H254" s="103">
        <v>54.32</v>
      </c>
      <c r="I254" s="104">
        <f t="shared" si="3"/>
        <v>1284.358615611193</v>
      </c>
    </row>
    <row r="255" spans="1:9" x14ac:dyDescent="0.35">
      <c r="B255" s="100">
        <v>982</v>
      </c>
      <c r="C255" s="17">
        <v>9</v>
      </c>
      <c r="D255" s="22" t="s">
        <v>274</v>
      </c>
      <c r="E255" s="101">
        <v>139517.66</v>
      </c>
      <c r="F255" s="102">
        <v>0</v>
      </c>
      <c r="G255" s="102">
        <v>139517.66</v>
      </c>
      <c r="H255" s="103">
        <v>106.72298014171729</v>
      </c>
      <c r="I255" s="104">
        <f t="shared" si="3"/>
        <v>1307.2878944603563</v>
      </c>
    </row>
    <row r="256" spans="1:9" x14ac:dyDescent="0.35">
      <c r="B256" s="100">
        <v>987</v>
      </c>
      <c r="C256" s="17">
        <v>9</v>
      </c>
      <c r="D256" s="22" t="s">
        <v>275</v>
      </c>
      <c r="E256" s="101">
        <v>108258.73</v>
      </c>
      <c r="F256" s="102">
        <v>0</v>
      </c>
      <c r="G256" s="102">
        <v>108258.73</v>
      </c>
      <c r="H256" s="103">
        <v>399.24791654162198</v>
      </c>
      <c r="I256" s="104">
        <f t="shared" si="3"/>
        <v>271.15665608918442</v>
      </c>
    </row>
    <row r="257" spans="2:9" x14ac:dyDescent="0.35">
      <c r="B257" s="100">
        <v>998</v>
      </c>
      <c r="C257" s="17">
        <v>9</v>
      </c>
      <c r="D257" s="22" t="s">
        <v>354</v>
      </c>
      <c r="E257" s="101">
        <v>227035.45</v>
      </c>
      <c r="F257" s="102">
        <v>0</v>
      </c>
      <c r="G257" s="102">
        <v>227035.45</v>
      </c>
      <c r="H257" s="103">
        <v>43.685214957722998</v>
      </c>
      <c r="I257" s="104">
        <f t="shared" si="3"/>
        <v>5197.0775517464399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3" ma:contentTypeDescription="Create a new document." ma:contentTypeScope="" ma:versionID="90f865b8fa7f9c44b36990efa09b715d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641c4e77df314bf35e157518a6798da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58a5c21-0e27-4b55-99aa-02304c2dfe44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FBC5B2-CFC3-4376-859A-B61E64EA3540}">
  <ds:schemaRefs>
    <ds:schemaRef ds:uri="http://schemas.microsoft.com/office/2006/metadata/properties"/>
    <ds:schemaRef ds:uri="http://schemas.microsoft.com/office/infopath/2007/PartnerControls"/>
    <ds:schemaRef ds:uri="44e471b1-b1fe-4853-bf7e-97ea90b2d993"/>
    <ds:schemaRef ds:uri="cc843694-e573-4847-9593-6af7526bc02c"/>
  </ds:schemaRefs>
</ds:datastoreItem>
</file>

<file path=customXml/itemProps2.xml><?xml version="1.0" encoding="utf-8"?>
<ds:datastoreItem xmlns:ds="http://schemas.openxmlformats.org/officeDocument/2006/customXml" ds:itemID="{9E499963-3D66-4B58-840C-ADB3A81CD0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F3EB5A-FDD6-436C-8CB1-A80616C2D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 Funding</vt:lpstr>
      <vt:lpstr>Revised 2020 MFAM(2020 PYAs)</vt:lpstr>
      <vt:lpstr>Revised 2020 Lockdown</vt:lpstr>
      <vt:lpstr>Revised 2020 MFAM(2019 PYAs)</vt:lpstr>
      <vt:lpstr>Revised 2020 MFAM Cost Bands</vt:lpstr>
      <vt:lpstr>Revised 2019 Lockdown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Constantinou</dc:creator>
  <cp:keywords/>
  <dc:description/>
  <cp:lastModifiedBy>Monica Ahmed</cp:lastModifiedBy>
  <cp:revision/>
  <dcterms:created xsi:type="dcterms:W3CDTF">2017-01-16T13:40:47Z</dcterms:created>
  <dcterms:modified xsi:type="dcterms:W3CDTF">2023-12-08T15:12:27Z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010021{"F":2,"I":"EDCF-EC30-08AE-67AE"}</vt:lpwstr>
  </property>
  <property fmtid="{D5CDD505-2E9C-101B-9397-08002B2CF9AE}" pid="3" name="ContentTypeId">
    <vt:lpwstr>0x01010015FF677344A00D4BBF4C7F3E8FA45D4A</vt:lpwstr>
  </property>
  <property fmtid="{D5CDD505-2E9C-101B-9397-08002B2CF9AE}" pid="4" name="Order">
    <vt:r8>5598800</vt:r8>
  </property>
  <property fmtid="{D5CDD505-2E9C-101B-9397-08002B2CF9AE}" pid="5" name="MediaServiceImageTags">
    <vt:lpwstr/>
  </property>
</Properties>
</file>